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vqn8KK6ZPcxGr/b6ZOkhogocUi3AVYAb2v31UiPdTSPhxtyYOeXRcKaMNGW3opXlFPAQevFinzpgwKp/hBrxNQ==" workbookSaltValue="n0edw5C0jOQjaR3JNk0ds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S17" i="17" s="1"/>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B12" i="6"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E18" i="12"/>
  <c r="ER19" i="8"/>
  <c r="AE13" i="21"/>
  <c r="EL19" i="8"/>
  <c r="BE12" i="21"/>
  <c r="EQ19" i="8"/>
  <c r="EN19" i="8"/>
  <c r="E15" i="3"/>
  <c r="BA13" i="16"/>
  <c r="E17" i="3"/>
  <c r="F16" i="10"/>
  <c r="ES19" i="8"/>
  <c r="C18" i="7"/>
  <c r="W19" i="8"/>
  <c r="R8" i="9"/>
  <c r="X12" i="21" s="1"/>
  <c r="EP19" i="8"/>
  <c r="EP19" i="19"/>
  <c r="BJ17" i="11"/>
  <c r="BL17" i="11"/>
  <c r="S13" i="16"/>
  <c r="P13" i="16"/>
  <c r="W13" i="20"/>
  <c r="F13" i="7"/>
  <c r="AZ17" i="11"/>
  <c r="BJ11" i="11"/>
  <c r="BL11" i="11"/>
  <c r="AZ9" i="11"/>
  <c r="AZ19" i="11" s="1"/>
  <c r="AZ15" i="11"/>
  <c r="AZ18" i="11" s="1"/>
  <c r="BV17" i="16"/>
  <c r="BV16" i="16"/>
  <c r="BW16" i="20"/>
  <c r="BV15" i="16"/>
  <c r="BW15" i="20"/>
  <c r="BU9" i="17"/>
  <c r="BV10" i="16"/>
  <c r="BU17" i="17"/>
  <c r="BU16" i="17"/>
  <c r="BV9" i="16"/>
  <c r="T13" i="16"/>
  <c r="AZ12" i="11"/>
  <c r="T15" i="11"/>
  <c r="T16" i="11"/>
  <c r="BG12" i="11"/>
  <c r="Q17" i="17"/>
  <c r="BH10" i="11"/>
  <c r="BI9" i="11"/>
  <c r="AQ10" i="21"/>
  <c r="BJ10" i="11"/>
  <c r="BK16" i="11"/>
  <c r="BH11" i="11"/>
  <c r="BG16" i="11"/>
  <c r="T11" i="11"/>
  <c r="BH16" i="11"/>
  <c r="AQ12" i="21"/>
  <c r="BJ16" i="11"/>
  <c r="BL16" i="11"/>
  <c r="BG15" i="8"/>
  <c r="BD9" i="8"/>
  <c r="BE9" i="8"/>
  <c r="L12" i="2"/>
  <c r="U9" i="17"/>
  <c r="U19" i="17" s="1"/>
  <c r="AP13" i="16"/>
  <c r="T18" i="17"/>
  <c r="BF15" i="13"/>
  <c r="BE16" i="13"/>
  <c r="BF16" i="13"/>
  <c r="AK20" i="20"/>
  <c r="T20" i="20"/>
  <c r="O16" i="11"/>
  <c r="Z20" i="20"/>
  <c r="H20" i="20"/>
  <c r="G18" i="14"/>
  <c r="F17" i="16" l="1"/>
  <c r="BL17" i="16" s="1"/>
  <c r="AJ19" i="8"/>
  <c r="AV18" i="21"/>
  <c r="BF17" i="8"/>
  <c r="I19" i="8"/>
  <c r="AL19" i="8"/>
  <c r="BM18" i="16"/>
  <c r="L19" i="8"/>
  <c r="G18" i="12"/>
  <c r="BD12" i="8"/>
  <c r="BE12" i="8"/>
  <c r="I12" i="7" s="1"/>
  <c r="AG19" i="8"/>
  <c r="H13" i="12"/>
  <c r="D13" i="7"/>
  <c r="B13" i="7"/>
  <c r="AY13" i="8"/>
  <c r="I10" i="3"/>
  <c r="E10" i="3"/>
  <c r="E10" i="6"/>
  <c r="AO12" i="11"/>
  <c r="L11" i="14"/>
  <c r="V10" i="16"/>
  <c r="X15" i="16"/>
  <c r="X18" i="16" s="1"/>
  <c r="S15" i="17"/>
  <c r="L10" i="2"/>
  <c r="BK10" i="11"/>
  <c r="BH12" i="16"/>
  <c r="BM9" i="11"/>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U11" i="17"/>
  <c r="AP17" i="20"/>
  <c r="BK17" i="11"/>
  <c r="BI17" i="11"/>
  <c r="Q10" i="21"/>
  <c r="BK15" i="11"/>
  <c r="BF10" i="11"/>
  <c r="BH15" i="16"/>
  <c r="BH9" i="16"/>
  <c r="BE15" i="13"/>
  <c r="BW17" i="20"/>
  <c r="BW9" i="20"/>
  <c r="BU15" i="17"/>
  <c r="T15" i="16"/>
  <c r="T17" i="16"/>
  <c r="BM15" i="11"/>
  <c r="BH17" i="11"/>
  <c r="BG9" i="11"/>
  <c r="R10" i="21"/>
  <c r="R13" i="21" s="1"/>
  <c r="V9" i="11"/>
  <c r="BI10" i="11"/>
  <c r="X9" i="17"/>
  <c r="X11" i="17"/>
  <c r="BK9" i="11"/>
  <c r="BK12" i="11"/>
  <c r="Q17" i="20"/>
  <c r="Q18" i="20" s="1"/>
  <c r="BH15" i="11"/>
  <c r="V15" i="11"/>
  <c r="AP16" i="20"/>
  <c r="R17" i="20"/>
  <c r="R18" i="20" s="1"/>
  <c r="BG15" i="11"/>
  <c r="AP15" i="20"/>
  <c r="BJ12" i="11"/>
  <c r="BJ15" i="11"/>
  <c r="BI15" i="11"/>
  <c r="BH9" i="11"/>
  <c r="BM12" i="11"/>
  <c r="AP10" i="21"/>
  <c r="V11" i="11"/>
  <c r="BK11" i="11"/>
  <c r="V17" i="16"/>
  <c r="X13" i="20"/>
  <c r="V12" i="21"/>
  <c r="BL12" i="11"/>
  <c r="S17" i="16"/>
  <c r="S18" i="16" s="1"/>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I12" i="12" l="1"/>
  <c r="AB21" i="21"/>
  <c r="BF18" i="13"/>
  <c r="R19" i="2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<sst xmlns="http://schemas.openxmlformats.org/spreadsheetml/2006/main" count="2094" uniqueCount="914">
  <si>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</si>
  <si>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</si>
  <si>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</si>
  <si>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</si>
  <si>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</si>
  <si>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</si>
  <si>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</si>
  <si>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</si>
  <si>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</si>
  <si>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</si>
  <si>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</si>
  <si>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</si>
  <si>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</si>
  <si>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</si>
  <si>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</si>
  <si>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</si>
  <si>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</si>
  <si>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</si>
  <si>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</si>
  <si>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</si>
  <si>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</si>
  <si>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</si>
  <si>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</si>
  <si>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</si>
  <si>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</si>
  <si>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</si>
  <si>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</si>
  <si>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</si>
  <si>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</si>
  <si>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</si>
  <si>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</si>
  <si>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</si>
  <si>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</si>
  <si>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</si>
  <si>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</si>
  <si>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</si>
  <si>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</si>
  <si>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</si>
  <si>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</si>
  <si>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</si>
  <si>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</si>
  <si>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</si>
  <si>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</si>
  <si>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</si>
  <si>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</si>
  <si>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</si>
  <si>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</si>
  <si>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</si>
  <si>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</si>
  <si>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</si>
  <si>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</si>
  <si>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</si>
  <si>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</si>
  <si>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</si>
  <si>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</si>
  <si>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</si>
  <si>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</si>
  <si>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</si>
  <si>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</si>
  <si>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</si>
  <si>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</si>
  <si>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</si>
  <si>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</si>
  <si>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</si>
  <si>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</si>
  <si>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</si>
  <si>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</si>
  <si>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</si>
  <si>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</si>
  <si>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</si>
  <si>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</si>
  <si>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</si>
  <si>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</si>
  <si>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</si>
  <si>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</si>
  <si>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</si>
  <si>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</si>
  <si>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</si>
  <si>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</si>
  <si>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</si>
  <si>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</si>
  <si>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</si>
  <si>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</si>
  <si>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</si>
  <si>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</si>
  <si>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</si>
  <si>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</si>
  <si>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</si>
  <si>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</si>
  <si>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</si>
  <si>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</si>
  <si>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</si>
  <si>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</si>
  <si>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</si>
  <si>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</si>
  <si>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</si>
  <si>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</si>
  <si>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</si>
  <si>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</si>
  <si>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</si>
  <si>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</si>
  <si>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</si>
  <si>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</si>
  <si>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</si>
  <si>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</si>
  <si>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</si>
  <si>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</si>
  <si>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</si>
  <si>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</si>
  <si>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</si>
  <si>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</si>
  <si>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</si>
  <si>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</si>
  <si>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</si>
  <si>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</si>
  <si>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</si>
  <si>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</si>
  <si>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</si>
  <si>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</si>
  <si>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</si>
  <si>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</si>
  <si>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</si>
  <si>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</si>
  <si>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</si>
  <si>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</si>
  <si>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</si>
  <si>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</si>
  <si>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</si>
  <si>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</si>
  <si>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</si>
  <si>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</si>
  <si>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</si>
  <si>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</si>
  <si>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</si>
  <si>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</si>
  <si>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</si>
  <si>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</si>
  <si>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</si>
  <si>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</si>
  <si>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</si>
  <si>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</si>
  <si>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</si>
  <si>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</si>
  <si>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</si>
  <si>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</si>
  <si>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</si>
  <si>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</si>
  <si>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</si>
  <si>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</si>
  <si>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</si>
  <si>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</si>
  <si>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</si>
  <si>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</si>
  <si>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</si>
  <si>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</si>
  <si>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</si>
  <si>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</si>
  <si>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</si>
  <si>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</si>
  <si>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</si>
  <si>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</si>
  <si>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</si>
  <si>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</si>
  <si>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</si>
  <si>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</si>
  <si>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</si>
  <si>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</si>
  <si>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</si>
  <si>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</si>
  <si>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</si>
  <si>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</si>
  <si>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</si>
  <si>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</si>
  <si>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</si>
  <si>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</si>
  <si>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</si>
  <si>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</si>
  <si>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</si>
  <si>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</si>
  <si>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</si>
  <si>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</si>
  <si>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</si>
  <si>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</si>
  <si>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</si>
  <si>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</si>
  <si>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</si>
  <si>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</si>
  <si>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</si>
  <si>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</si>
  <si>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</si>
  <si>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</si>
  <si>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</si>
  <si>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</si>
  <si>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</si>
  <si>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</si>
  <si>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</si>
  <si>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</si>
  <si>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</si>
  <si>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</si>
  <si>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</si>
  <si>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</si>
  <si>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</si>
  <si>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</si>
  <si>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</si>
  <si>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</si>
  <si>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</si>
  <si>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</si>
  <si>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</si>
  <si>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</si>
  <si>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</si>
  <si>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</si>
  <si>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</si>
  <si>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</si>
  <si>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</si>
  <si>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</si>
  <si>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</si>
  <si>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</si>
  <si>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</si>
  <si>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</si>
  <si>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</si>
  <si>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</si>
  <si>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</si>
  <si>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</si>
  <si>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</si>
  <si>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</si>
  <si>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</si>
  <si>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</si>
  <si>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</si>
  <si>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</si>
  <si>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</si>
  <si>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</si>
  <si>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</si>
  <si>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</si>
  <si>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</si>
  <si>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</si>
  <si>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</si>
  <si>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</si>
  <si>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</si>
  <si>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</si>
  <si>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</si>
  <si>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</si>
  <si>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</si>
  <si>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</si>
  <si>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</si>
  <si>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</si>
  <si>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</si>
  <si>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</si>
  <si>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</si>
  <si>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</si>
  <si>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</si>
  <si>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</si>
  <si>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</si>
  <si>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</si>
  <si>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</si>
  <si>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</si>
  <si>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</si>
  <si>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</si>
  <si>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</si>
  <si>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</si>
  <si>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</si>
  <si>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</si>
  <si>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</si>
  <si>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</si>
  <si>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</si>
  <si>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</si>
  <si>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</si>
  <si>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</si>
  <si>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</si>
  <si>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</si>
  <si>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</si>
  <si>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</si>
  <si>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</si>
  <si>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</si>
  <si>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</si>
  <si>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</si>
  <si>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</si>
  <si>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</si>
  <si>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</si>
  <si>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</si>
  <si>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</si>
  <si>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</si>
  <si>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</si>
  <si>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</si>
  <si>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</si>
  <si>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</si>
  <si>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</si>
  <si>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</si>
  <si>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</si>
  <si>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</si>
  <si>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</si>
  <si>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</si>
  <si>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</si>
  <si>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</si>
  <si>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</si>
  <si>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</si>
  <si>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</si>
  <si>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</si>
  <si>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</si>
  <si>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</si>
  <si>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</si>
  <si>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</si>
  <si>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</si>
  <si>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</si>
  <si>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</si>
  <si>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</si>
  <si>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</si>
  <si>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</si>
  <si>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</si>
  <si>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</si>
  <si>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</si>
  <si>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</si>
  <si>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</si>
  <si>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</si>
  <si>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</si>
  <si>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</si>
  <si>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</si>
  <si>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</si>
  <si>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</si>
  <si>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</si>
  <si>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</si>
  <si>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</si>
  <si>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</si>
  <si>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</si>
  <si>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</si>
  <si>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</si>
  <si>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</si>
  <si>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</si>
  <si>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</si>
  <si>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</si>
  <si>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</si>
  <si>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</si>
  <si>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</si>
  <si>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</si>
  <si>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</si>
  <si>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</si>
  <si>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</si>
  <si>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</si>
  <si>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</si>
  <si>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</si>
  <si>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</si>
  <si>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</si>
  <si>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</si>
  <si>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</si>
  <si>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</si>
  <si>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</si>
  <si>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</si>
  <si>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</si>
  <si>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</si>
  <si>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</si>
  <si>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</si>
  <si>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</si>
  <si>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</si>
  <si>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</si>
  <si>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</si>
  <si>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</si>
  <si>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</si>
  <si>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</si>
  <si>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</si>
  <si>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</si>
  <si>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</si>
  <si>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</si>
  <si>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</si>
  <si>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</si>
  <si>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</si>
  <si>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</si>
  <si>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</si>
  <si>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</si>
  <si>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</si>
  <si>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</si>
  <si>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</si>
  <si>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</si>
  <si>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</si>
  <si>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</si>
  <si>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</si>
  <si>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</si>
  <si>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</si>
  <si>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</si>
  <si>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</si>
  <si>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</si>
  <si>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</si>
  <si>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</si>
  <si>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</si>
  <si>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</si>
  <si>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</si>
  <si>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</si>
  <si>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</si>
  <si>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</si>
  <si>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</si>
  <si>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</si>
  <si>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</si>
  <si>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</si>
  <si>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</si>
  <si>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</si>
  <si>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</si>
  <si>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</si>
  <si>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</si>
  <si>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</si>
  <si>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</si>
  <si>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</si>
  <si>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</si>
  <si>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</si>
  <si>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</si>
  <si>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</si>
  <si>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</si>
  <si>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</si>
  <si>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</si>
  <si>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</si>
  <si>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</si>
  <si>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</si>
  <si>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</si>
  <si>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</si>
  <si>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</si>
  <si>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</si>
  <si>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</si>
  <si>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</si>
  <si>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</si>
  <si>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</si>
  <si>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</si>
  <si>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</si>
  <si>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</si>
  <si>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</si>
  <si>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</si>
  <si>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</si>
  <si>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</si>
  <si>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</si>
  <si>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</si>
  <si>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</si>
  <si>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</si>
  <si>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</si>
  <si>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</si>
  <si>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</si>
  <si>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</si>
  <si>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</si>
  <si>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</si>
  <si>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</si>
  <si>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</si>
  <si>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</si>
  <si>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</si>
  <si>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</si>
  <si>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</si>
  <si>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</si>
  <si>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</si>
  <si>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</si>
  <si>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</si>
  <si>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</si>
  <si>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</si>
  <si>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</si>
  <si>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</si>
  <si>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</si>
  <si>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</si>
  <si>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</si>
  <si>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</si>
  <si>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</si>
  <si>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</si>
  <si>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</si>
  <si>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</si>
  <si>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</si>
  <si>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</si>
  <si>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</si>
  <si>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</si>
  <si>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</si>
  <si>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</si>
  <si>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</si>
  <si>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</si>
  <si>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</si>
  <si>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</si>
  <si>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</si>
  <si>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</si>
  <si>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</si>
  <si>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</si>
  <si>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</si>
  <si>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</si>
  <si>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</si>
  <si>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</si>
  <si>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</si>
  <si>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</si>
  <si>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</si>
  <si>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</si>
  <si>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</si>
  <si>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</si>
  <si>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</si>
  <si>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</si>
  <si>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</si>
  <si>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</si>
  <si>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</si>
  <si>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</si>
  <si>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</si>
  <si>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</si>
  <si>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</si>
  <si>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</si>
  <si>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</si>
  <si>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</si>
  <si>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</si>
  <si>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</si>
  <si>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</si>
  <si>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</si>
  <si>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</si>
  <si>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</si>
  <si>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</si>
  <si>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</si>
  <si>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</si>
  <si>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</si>
  <si>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</si>
  <si>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</si>
  <si>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</si>
  <si>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</si>
  <si>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</si>
  <si>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</si>
  <si>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</si>
  <si>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</si>
  <si>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</si>
  <si>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</si>
  <si>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</si>
  <si>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</si>
  <si>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</si>
  <si>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</si>
  <si>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</si>
  <si>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</si>
  <si>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</si>
  <si>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</si>
  <si>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</si>
  <si>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</si>
  <si>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</si>
  <si>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</si>
  <si>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</si>
  <si>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</si>
  <si>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</si>
  <si>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</si>
  <si>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</si>
  <si>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</si>
  <si>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</si>
  <si>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</si>
  <si>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</si>
  <si>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</si>
  <si>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</si>
  <si>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</si>
  <si>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</si>
  <si>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</si>
  <si>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</si>
  <si>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</si>
  <si>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</si>
  <si>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</si>
  <si>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</si>
  <si>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</si>
  <si>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</si>
  <si>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</si>
  <si>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</si>
  <si>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</si>
  <si>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</si>
  <si>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</si>
  <si>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</si>
  <si>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</si>
  <si>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</si>
  <si>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</si>
  <si>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</si>
  <si>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</si>
  <si>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</si>
  <si>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</si>
  <si>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</si>
  <si>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</si>
  <si>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</si>
  <si>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</si>
  <si>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</si>
  <si>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</si>
  <si>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</si>
  <si>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</si>
  <si>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</si>
  <si>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</si>
  <si>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</si>
  <si>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</si>
  <si>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</si>
  <si>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</si>
  <si>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</si>
  <si>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</si>
  <si>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</si>
  <si>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</si>
  <si>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</si>
  <si>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</si>
  <si>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</si>
  <si>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</si>
  <si>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</si>
  <si>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</si>
  <si>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</si>
  <si>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</si>
  <si>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</si>
  <si>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</si>
  <si>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</si>
  <si>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</si>
  <si>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</si>
  <si>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</si>
  <si>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</si>
  <si>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</si>
  <si>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</si>
  <si>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</si>
  <si>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</si>
  <si>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</si>
  <si>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</si>
  <si>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</si>
  <si>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</si>
  <si>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</si>
  <si>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</si>
  <si>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</si>
  <si>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</si>
  <si>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</si>
  <si>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</si>
  <si>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</si>
  <si>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</si>
  <si>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</si>
  <si>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</si>
  <si>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</si>
  <si>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</si>
  <si>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</si>
  <si>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</si>
  <si>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</si>
  <si>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</si>
  <si>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</si>
  <si>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</si>
  <si>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</si>
  <si>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</si>
  <si>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</si>
  <si>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</si>
  <si>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</si>
  <si>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</si>
  <si>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</si>
  <si>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</si>
  <si>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</si>
  <si>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</si>
  <si>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</si>
  <si>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</si>
  <si>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</si>
  <si>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</si>
  <si>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</si>
  <si>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</si>
  <si>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</si>
  <si>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</si>
  <si>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</si>
  <si>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</si>
  <si>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</si>
  <si>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</si>
  <si>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</si>
  <si>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</si>
  <si>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</si>
  <si>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</si>
  <si>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</si>
  <si>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</si>
  <si>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</si>
  <si>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</si>
  <si>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</si>
  <si>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</si>
  <si>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</si>
  <si>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</si>
  <si>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</si>
  <si>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</si>
  <si>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</si>
  <si>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</si>
  <si>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</si>
  <si>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</si>
  <si>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</si>
  <si>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</si>
  <si>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</si>
  <si>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</si>
  <si>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</si>
  <si>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</si>
  <si>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</si>
  <si>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</si>
  <si>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</si>
  <si>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</si>
  <si>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</si>
  <si>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</si>
  <si>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</si>
  <si>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</si>
  <si>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</si>
  <si>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</si>
  <si>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</si>
  <si>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</si>
  <si>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</si>
  <si>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</si>
  <si>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</si>
  <si>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</si>
  <si>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</si>
  <si>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</si>
  <si>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</si>
  <si>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</si>
  <si>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</si>
  <si>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</si>
  <si>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</si>
  <si>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</si>
  <si>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</si>
  <si>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</si>
  <si>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</si>
  <si>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</si>
  <si>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</si>
  <si>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</si>
  <si>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</si>
  <si>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</si>
  <si>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</si>
  <si>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</si>
  <si>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</si>
  <si>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</si>
  <si>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</si>
  <si>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</si>
  <si>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</si>
  <si>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</si>
  <si>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</si>
  <si>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</si>
  <si>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</si>
  <si>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</si>
  <si>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</si>
  <si>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</si>
  <si>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</si>
  <si>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</si>
  <si>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</si>
  <si>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</si>
  <si>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</si>
  <si>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</si>
  <si>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</si>
  <si>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</si>
  <si>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</si>
  <si>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</si>
  <si>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</si>
  <si>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</si>
  <si>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</si>
  <si>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</si>
  <si>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</si>
  <si>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</si>
  <si>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</si>
  <si>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</si>
  <si>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</si>
  <si>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</si>
  <si>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</si>
  <si>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</si>
  <si>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</si>
  <si>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</si>
  <si>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</si>
  <si>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</si>
  <si>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</si>
  <si>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</si>
  <si>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</si>
  <si>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</si>
  <si>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</si>
  <si>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</si>
  <si>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</si>
  <si>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</si>
  <si>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</si>
  <si>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</si>
  <si>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</si>
  <si>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</si>
  <si>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</si>
  <si>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</si>
  <si>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</si>
  <si>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</si>
  <si>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</si>
  <si>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</si>
  <si>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</si>
  <si>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</si>
  <si>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</si>
  <si>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</si>
  <si>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</si>
  <si>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</si>
  <si>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</si>
  <si>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</si>
  <si>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</si>
  <si>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</si>
  <si>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</si>
  <si>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</si>
  <si>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</si>
  <si>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</si>
  <si>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</si>
  <si>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</si>
  <si>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</si>
  <si>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</si>
  <si>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</si>
  <si>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</si>
  <si>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</si>
  <si>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</si>
  <si>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</si>
  <si>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</si>
  <si>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</si>
  <si>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</si>
  <si>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</si>
  <si>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</si>
  <si>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</si>
  <si>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</si>
  <si>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</si>
  <si>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</si>
  <si>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</si>
  <si>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</si>
  <si>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</si>
  <si>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</si>
  <si>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</si>
  <si>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</si>
  <si>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</si>
  <si>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</si>
  <si>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</si>
  <si>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</si>
  <si>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</si>
  <si>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</si>
  <si>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</si>
  <si>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</si>
  <si>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</si>
  <si>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</si>
  <si>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</si>
  <si>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</si>
  <si>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</si>
  <si>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</si>
  <si>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</si>
  <si>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</si>
  <si>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</si>
  <si>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</si>
  <si>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</si>
  <si>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</si>
  <si>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</si>
  <si>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</si>
  <si>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</si>
  <si>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</si>
  <si>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</si>
  <si>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</si>
  <si>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</si>
  <si>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</si>
  <si>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</si>
  <si>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</si>
  <si>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</si>
  <si>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</si>
  <si>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</si>
  <si>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</si>
  <si>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</si>
  <si>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</si>
  <si>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</si>
  <si>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</si>
  <si>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</si>
  <si>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</si>
  <si>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</si>
  <si>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</si>
  <si>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</si>
  <si>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</si>
  <si>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</si>
  <si>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</si>
  <si>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</si>
  <si>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</si>
  <si>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</si>
  <si>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</si>
  <si>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</si>
  <si>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</si>
  <si>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</si>
  <si>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</si>
  <si>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</si>
  <si>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</si>
  <si>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</si>
  <si>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</si>
  <si>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</si>
  <si>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</si>
  <si>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</si>
  <si>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</si>
  <si>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</si>
  <si>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</si>
  <si>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</si>
  <si>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</si>
  <si>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</si>
  <si>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</si>
  <si>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</si>
  <si>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</si>
  <si>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</si>
  <si>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</si>
  <si>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</si>
  <si>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</si>
  <si>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</si>
  <si>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</si>
  <si>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</si>
  <si>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</si>
  <si>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</si>
  <si>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</si>
  <si>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</si>
  <si>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</si>
  <si>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</si>
  <si>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</si>
  <si>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</si>
  <si>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</si>
  <si>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</si>
  <si>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</si>
  <si>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</si>
  <si>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</si>
  <si>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</si>
  <si>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</si>
  <si>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</si>
  <si>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</si>
  <si>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</si>
  <si>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</si>
  <si>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</si>
  <si>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</si>
  <si>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</si>
  <si>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</si>
  <si>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</si>
  <si>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</si>
  <si>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</si>
  <si>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</si>
  <si>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</si>
  <si>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</si>
  <si>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</si>
  <si>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</si>
  <si>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</si>
  <si>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</si>
  <si>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</si>
  <si>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</si>
  <si>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</si>
  <si>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</si>
  <si>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</si>
  <si>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</si>
  <si>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</si>
  <si>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</si>
  <si>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</si>
  <si>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</si>
  <si>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ALMERIA</t>
  </si>
  <si>
    <t>Resumenes por Partidos Judiciales</t>
  </si>
  <si>
    <t>ROQUETAS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</si>
</sst>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0j7zyf17u+/g/1uAdG2/1kQOZuSxqxIJubglDjROAOGvRj+EHxPQvCwAJDhAHjtKAbagEGNUYXa7OE1DinA3Q==" saltValue="NymrlX466utQvaXRpRlH4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ALMERIA</v>
      </c>
      <c r="D3" s="375"/>
      <c r="E3" s="375"/>
      <c r="F3" s="375"/>
    </row>
    <row r="4" spans="1:14" ht="13.5" thickBot="1">
      <c r="A4" s="375"/>
      <c r="B4" s="391" t="str">
        <f>Criterios!A11 &amp;"  "&amp;Criterios!B11</f>
        <v>Resumenes por Partidos Judiciales  ROQUETAS DE MAR</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200</v>
      </c>
      <c r="D10" s="404">
        <f>IF(ISNUMBER(C10/Datos!BH10),C10/Datos!BH10," - ")</f>
        <v>200</v>
      </c>
      <c r="E10" s="403">
        <f>IF(ISNUMBER(Datos!J10),Datos!J10," - ")</f>
        <v>29</v>
      </c>
      <c r="F10" s="404">
        <f>IF(ISNUMBER(E10/B10),E10/B10," - ")</f>
        <v>29</v>
      </c>
      <c r="G10" s="403">
        <f>IF(ISNUMBER(Datos!K10),Datos!K10," - ")</f>
        <v>24</v>
      </c>
      <c r="H10" s="404">
        <f>IF(ISNUMBER(G10/B10),G10/B10," - ")</f>
        <v>24</v>
      </c>
      <c r="I10" s="403">
        <f>IF(ISNUMBER(Datos!L10),Datos!L10," - ")</f>
        <v>205</v>
      </c>
      <c r="J10" s="404">
        <f>IF(ISNUMBER(I10/B10),I10/B10," - ")</f>
        <v>205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7</v>
      </c>
      <c r="C12" s="403">
        <f>IF(ISNUMBER(IF(J_V="SI",Datos!I12,Datos!I12+Datos!Y12)),IF(J_V="SI",Datos!I12,Datos!I12+Datos!Y12)," - ")</f>
        <v>5365</v>
      </c>
      <c r="D12" s="404">
        <f>IF(ISNUMBER(C12/Datos!BH12),C12/Datos!BH12," - ")</f>
        <v>766.42857142857144</v>
      </c>
      <c r="E12" s="403">
        <f>IF(ISNUMBER(IF(J_V="SI",Datos!J12,Datos!J12+Datos!Z12)),IF(J_V="SI",Datos!J12,Datos!J12+Datos!Z12)," - ")</f>
        <v>2040</v>
      </c>
      <c r="F12" s="404">
        <f>IF(ISNUMBER(E12/B12),E12/B12," - ")</f>
        <v>291.42857142857144</v>
      </c>
      <c r="G12" s="403">
        <f>IF(ISNUMBER(IF(J_V="SI",Datos!K12,Datos!K12+Datos!AA12)),IF(J_V="SI",Datos!K12,Datos!K12+Datos!AA12)," - ")</f>
        <v>2074</v>
      </c>
      <c r="H12" s="404">
        <f>IF(ISNUMBER(G12/B12),G12/B12," - ")</f>
        <v>296.28571428571428</v>
      </c>
      <c r="I12" s="403">
        <f>IF(ISNUMBER(IF(J_V="SI",Datos!L12,Datos!L12+Datos!AB12)),IF(J_V="SI",Datos!L12,Datos!L12+Datos!AB12)," - ")</f>
        <v>5332</v>
      </c>
      <c r="J12" s="404">
        <f>IF(ISNUMBER(I12/B12),I12/B12," - ")</f>
        <v>761.71428571428567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7</v>
      </c>
      <c r="C13" s="849">
        <f>SUBTOTAL(9,C8:C12)</f>
        <v>5565</v>
      </c>
      <c r="D13" s="850" t="str">
        <f>IF(ISNUMBER(C13/Datos!BI13),C13/Datos!BI13," - ")</f>
        <v xml:space="preserve"> - </v>
      </c>
      <c r="E13" s="849">
        <f>SUBTOTAL(9,E8:E12)</f>
        <v>2069</v>
      </c>
      <c r="F13" s="850">
        <f>IF(ISNUMBER(E13/B13),E13/B13," - ")</f>
        <v>295.57142857142856</v>
      </c>
      <c r="G13" s="849">
        <f>SUBTOTAL(9,G8:G12)</f>
        <v>2098</v>
      </c>
      <c r="H13" s="850">
        <f>IF(ISNUMBER(G13/B13),G13/B13," - ")</f>
        <v>299.71428571428572</v>
      </c>
      <c r="I13" s="849">
        <f>SUBTOTAL(9,I8:I12)</f>
        <v>5537</v>
      </c>
      <c r="J13" s="850">
        <f>IF(ISNUMBER(I13/B13),I13/B13," - ")</f>
        <v>791</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7</v>
      </c>
      <c r="C16" s="403">
        <f>IF(ISNUMBER(IF(D_I="SI",Datos!I16,Datos!I16+Datos!AC16)),IF(D_I="SI",Datos!I16,Datos!I16+Datos!AC16)," - ")</f>
        <v>2225</v>
      </c>
      <c r="D16" s="404">
        <f>IF(ISNUMBER(C16/Datos!BH16),C16/Datos!BH16," - ")</f>
        <v>317.85714285714283</v>
      </c>
      <c r="E16" s="403">
        <f>IF(ISNUMBER(IF(D_I="SI",Datos!J16,Datos!J16+Datos!AD16)),IF(D_I="SI",Datos!J16,Datos!J16+Datos!AD16)," - ")</f>
        <v>1547</v>
      </c>
      <c r="F16" s="404">
        <f>IF(ISNUMBER(E16/B16),E16/B16," - ")</f>
        <v>221</v>
      </c>
      <c r="G16" s="403">
        <f>IF(ISNUMBER(IF(D_I="SI",Datos!K16,Datos!K16+Datos!AE16)),IF(D_I="SI",Datos!K16,Datos!K16+Datos!AE16)," - ")</f>
        <v>1761</v>
      </c>
      <c r="H16" s="404">
        <f>IF(ISNUMBER(G16/B16),G16/B16," - ")</f>
        <v>251.57142857142858</v>
      </c>
      <c r="I16" s="403">
        <f>IF(ISNUMBER(IF(D_I="SI",Datos!L16,Datos!L16+Datos!AF16)),IF(D_I="SI",Datos!L16,Datos!L16+Datos!AF16)," - ")</f>
        <v>2022</v>
      </c>
      <c r="J16" s="404">
        <f>IF(ISNUMBER(I16/B16),I16/B16," - ")</f>
        <v>288.85714285714283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177</v>
      </c>
      <c r="D17" s="404">
        <f>IF(ISNUMBER(C17/Datos!BH17),C17/Datos!BH17," - ")</f>
        <v>177</v>
      </c>
      <c r="E17" s="403">
        <f>IF(ISNUMBER(IF(D_I="SI",Datos!J17,Datos!J17+Datos!AD17)),IF(D_I="SI",Datos!J17,Datos!J17+Datos!AD17)," - ")</f>
        <v>228</v>
      </c>
      <c r="F17" s="404">
        <f>IF(ISNUMBER(E17/B17),E17/B17," - ")</f>
        <v>228</v>
      </c>
      <c r="G17" s="403">
        <f>IF(ISNUMBER(IF(D_I="SI",Datos!K17,Datos!K17+Datos!AE17)),IF(D_I="SI",Datos!K17,Datos!K17+Datos!AE17)," - ")</f>
        <v>169</v>
      </c>
      <c r="H17" s="404">
        <f>IF(ISNUMBER(G17/B17),G17/B17," - ")</f>
        <v>169</v>
      </c>
      <c r="I17" s="403">
        <f>IF(ISNUMBER(IF(D_I="SI",Datos!L17,Datos!L17+Datos!AF17)),IF(D_I="SI",Datos!L17,Datos!L17+Datos!AF17)," - ")</f>
        <v>236</v>
      </c>
      <c r="J17" s="404">
        <f>IF(ISNUMBER(I17/B17),I17/B17," - ")</f>
        <v>236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7</v>
      </c>
      <c r="C18" s="849">
        <f>SUBTOTAL(9,C14:C17)</f>
        <v>2402</v>
      </c>
      <c r="D18" s="850" t="str">
        <f>IF(ISNUMBER(C18/Datos!BI18),C18/Datos!BI18," - ")</f>
        <v xml:space="preserve"> - </v>
      </c>
      <c r="E18" s="849">
        <f>SUBTOTAL(9,E14:E17)</f>
        <v>1775</v>
      </c>
      <c r="F18" s="850">
        <f>IF(ISNUMBER(E18/B18),E18/B18," - ")</f>
        <v>253.57142857142858</v>
      </c>
      <c r="G18" s="849">
        <f>SUBTOTAL(9,G14:G17)</f>
        <v>1930</v>
      </c>
      <c r="H18" s="850">
        <f>IF(ISNUMBER(G18/B18),G18/B18," - ")</f>
        <v>275.71428571428572</v>
      </c>
      <c r="I18" s="849">
        <f>SUBTOTAL(9,I14:I17)</f>
        <v>2258</v>
      </c>
      <c r="J18" s="850">
        <f>IF(ISNUMBER(I18/B18),I18/B18," - ")</f>
        <v>322.57142857142856</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7</v>
      </c>
      <c r="C19" s="794">
        <f>SUBTOTAL(9,C9:C18)</f>
        <v>7967</v>
      </c>
      <c r="D19" s="795" t="str">
        <f>IF(ISNUMBER(C19/Datos!BI19),C19/Datos!BI19," - ")</f>
        <v xml:space="preserve"> - </v>
      </c>
      <c r="E19" s="794">
        <f>SUBTOTAL(9,E9:E18)</f>
        <v>3844</v>
      </c>
      <c r="F19" s="795">
        <f>IF(ISNUMBER(E19/B19),E19/B19," - ")</f>
        <v>549.14285714285711</v>
      </c>
      <c r="G19" s="794">
        <f>SUBTOTAL(9,G9:G18)</f>
        <v>4028</v>
      </c>
      <c r="H19" s="795">
        <f>IF(ISNUMBER(G19/B19),G19/B19," - ")</f>
        <v>575.42857142857144</v>
      </c>
      <c r="I19" s="794">
        <f>SUBTOTAL(9,I9:I18)</f>
        <v>7795</v>
      </c>
      <c r="J19" s="795">
        <f>IF(ISNUMBER(I19/B19),I19/B19," - ")</f>
        <v>1113.5714285714287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nbyO4e2qT1hiu37K2+1o2ooEtw/Z4RM+UmK9XYczVztRwwl18R2QqAz6GK38k35VC+/DQHpFTcrQFKlMWWUUyw==" saltValue="yF4d13RcyFdTHv3UDC42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ROQUETAS DE MAR</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7fW6xYe7/umRZCptIjmrZ9v/KkPg1x6O0EjpDI157c43fQJsJp3bvXrczAFNtMjzQ92FQcwmuMYQAeUUoj3dZQ==" saltValue="0yP5m0cBoaJZ1D4ArnEV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ALMERIA</v>
      </c>
      <c r="C3" s="391"/>
      <c r="D3" s="425"/>
    </row>
    <row r="4" spans="1:9" ht="13.5" thickBot="1">
      <c r="B4" s="391" t="str">
        <f>Criterios!A11 &amp;"  "&amp;Criterios!B11</f>
        <v>Resumenes por Partidos Judiciales  ROQUETAS DE MAR</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14</v>
      </c>
      <c r="E10" s="404">
        <f>IF(ISNUMBER(D10/B10),D10/B10," - ")</f>
        <v>14</v>
      </c>
      <c r="F10" s="403">
        <f>IF(ISNUMBER(Datos!N10),Datos!N10," - ")</f>
        <v>10</v>
      </c>
      <c r="G10" s="404">
        <f>IF(ISNUMBER(F10/B10),F10/B10," - ")</f>
        <v>10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7</v>
      </c>
      <c r="C12" s="410">
        <f>Datos!AQ12</f>
        <v>7</v>
      </c>
      <c r="D12" s="403">
        <f>IF(ISNUMBER(Datos!M12),Datos!M12," - ")</f>
        <v>438</v>
      </c>
      <c r="E12" s="404">
        <f t="shared" si="0"/>
        <v>62.571428571428569</v>
      </c>
      <c r="F12" s="403">
        <f>IF(ISNUMBER(Datos!N12),Datos!N12," - ")</f>
        <v>824</v>
      </c>
      <c r="G12" s="404">
        <f t="shared" si="1"/>
        <v>117.71428571428571</v>
      </c>
      <c r="H12" s="403">
        <f>IF(ISNUMBER(Datos!O12),Datos!O12," - ")</f>
        <v>680</v>
      </c>
      <c r="I12" s="404">
        <f t="shared" si="2"/>
        <v>97.142857142857139</v>
      </c>
    </row>
    <row r="13" spans="1:9" ht="14.25" thickTop="1" thickBot="1">
      <c r="A13" s="848" t="str">
        <f>Datos!A13</f>
        <v>TOTAL</v>
      </c>
      <c r="B13" s="849">
        <f>Datos!AO13</f>
        <v>8</v>
      </c>
      <c r="C13" s="851">
        <f>Datos!AR13</f>
        <v>7</v>
      </c>
      <c r="D13" s="849">
        <f>SUBTOTAL(9,D9:D12)</f>
        <v>452</v>
      </c>
      <c r="E13" s="850">
        <f t="shared" si="0"/>
        <v>56.5</v>
      </c>
      <c r="F13" s="849">
        <f>SUBTOTAL(9,F9:F12)</f>
        <v>834</v>
      </c>
      <c r="G13" s="850">
        <f t="shared" si="1"/>
        <v>104.25</v>
      </c>
      <c r="H13" s="849">
        <f>SUBTOTAL(9,H9:H12)</f>
        <v>680</v>
      </c>
      <c r="I13" s="850">
        <f>IF(ISNUMBER(H13/B13),H13/B13," - ")</f>
        <v>85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7</v>
      </c>
      <c r="C16" s="428">
        <f>Datos!AQ16</f>
        <v>7</v>
      </c>
      <c r="D16" s="403">
        <f>IF(ISNUMBER(Datos!M16),Datos!M16," - ")</f>
        <v>325</v>
      </c>
      <c r="E16" s="404">
        <f t="shared" si="3"/>
        <v>46.428571428571431</v>
      </c>
      <c r="F16" s="403">
        <f>IF(ISNUMBER(Datos!N16),Datos!N16," - ")</f>
        <v>1132</v>
      </c>
      <c r="G16" s="404">
        <f t="shared" si="4"/>
        <v>161.71428571428572</v>
      </c>
      <c r="H16" s="403">
        <f>IF(ISNUMBER(Datos!O16),Datos!O16," - ")</f>
        <v>13</v>
      </c>
      <c r="I16" s="404">
        <f t="shared" si="5"/>
        <v>1.8571428571428572</v>
      </c>
    </row>
    <row r="17" spans="1:9" ht="13.5" thickBot="1">
      <c r="A17" s="402" t="str">
        <f>Datos!A17</f>
        <v>Jdos. Violencia contra la mujer</v>
      </c>
      <c r="B17" s="427">
        <f>Datos!AO17</f>
        <v>1</v>
      </c>
      <c r="C17" s="428">
        <f>Datos!AQ17</f>
        <v>0</v>
      </c>
      <c r="D17" s="403">
        <f>IF(ISNUMBER(Datos!M17),Datos!M17," - ")</f>
        <v>36</v>
      </c>
      <c r="E17" s="404">
        <f>IF(ISNUMBER(D17/B17),D17/B17," - ")</f>
        <v>36</v>
      </c>
      <c r="F17" s="403">
        <f>IF(ISNUMBER(Datos!N17),Datos!N17," - ")</f>
        <v>69</v>
      </c>
      <c r="G17" s="404">
        <f>IF(ISNUMBER(F17/B17),F17/B17," - ")</f>
        <v>69</v>
      </c>
      <c r="H17" s="403">
        <f>IF(ISNUMBER(Datos!O17),Datos!O17," - ")</f>
        <v>0</v>
      </c>
      <c r="I17" s="404">
        <f t="shared" si="5"/>
        <v>0</v>
      </c>
    </row>
    <row r="18" spans="1:9" ht="14.25" thickTop="1" thickBot="1">
      <c r="A18" s="848" t="str">
        <f>Datos!A18</f>
        <v>TOTAL</v>
      </c>
      <c r="B18" s="849">
        <f>Datos!AO18</f>
        <v>8</v>
      </c>
      <c r="C18" s="851">
        <f>Datos!AR18</f>
        <v>7</v>
      </c>
      <c r="D18" s="849">
        <f>SUBTOTAL(9,D15:D17)</f>
        <v>361</v>
      </c>
      <c r="E18" s="850">
        <f t="shared" si="3"/>
        <v>45.125</v>
      </c>
      <c r="F18" s="849">
        <f>SUBTOTAL(9,F15:F17)</f>
        <v>1201</v>
      </c>
      <c r="G18" s="850">
        <f t="shared" si="4"/>
        <v>150.125</v>
      </c>
      <c r="H18" s="849">
        <f>SUBTOTAL(9,H15:H17)</f>
        <v>13</v>
      </c>
      <c r="I18" s="850">
        <f>IF(ISNUMBER(H18/B18),H18/B18," - ")</f>
        <v>1.625</v>
      </c>
    </row>
    <row r="19" spans="1:9" ht="14.25" thickTop="1" thickBot="1">
      <c r="A19" s="793" t="str">
        <f>Datos!A19</f>
        <v>TOTAL JURISDICCIONES</v>
      </c>
      <c r="B19" s="794">
        <f>Datos!AP19</f>
        <v>7</v>
      </c>
      <c r="C19" s="794">
        <f>Datos!AR19</f>
        <v>7</v>
      </c>
      <c r="D19" s="794">
        <f>SUBTOTAL(9,D8:D18)</f>
        <v>813</v>
      </c>
      <c r="E19" s="795">
        <f>IF(ISNUMBER(D19/B19),D19/B19," - ")</f>
        <v>116.14285714285714</v>
      </c>
      <c r="F19" s="794">
        <f>SUBTOTAL(9,F8:F18)</f>
        <v>2035</v>
      </c>
      <c r="G19" s="795">
        <f>IF(ISNUMBER(F19/B19),F19/B19," - ")</f>
        <v>290.71428571428572</v>
      </c>
      <c r="H19" s="794">
        <f>SUBTOTAL(9,H8:H18)</f>
        <v>693</v>
      </c>
      <c r="I19" s="795">
        <f>IF(ISNUMBER(H19/B19),H19/B19," - ")</f>
        <v>99</v>
      </c>
    </row>
    <row r="22" spans="1:9">
      <c r="A22" s="391" t="str">
        <f>Criterios!A4</f>
        <v>Fecha Informe: 29 may. 2024</v>
      </c>
    </row>
    <row r="27" spans="1:9">
      <c r="A27" s="414"/>
    </row>
  </sheetData>
  <sheetProtection algorithmName="SHA-512" hashValue="UrYGCdnHZbriMjbVfTHQC+PwH3yVfzc16g3OP5rW6JMkvVQXla9rzzj0jWZYa1IsZEK9RnIKeb+Nh2LXqa8Kig==" saltValue="QG/kOQ+RZ8PGJ+hCFy9S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ROQUETAS DE MAR</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54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421</v>
      </c>
      <c r="C12" s="434">
        <f>IF(ISNUMBER(Datos!Q12),Datos!Q12," - ")</f>
        <v>182</v>
      </c>
      <c r="D12" s="408">
        <f>IF(ISNUMBER(Datos!R12),Datos!R12," - ")</f>
        <v>7644</v>
      </c>
    </row>
    <row r="13" spans="1:4" ht="14.25" thickTop="1" thickBot="1">
      <c r="A13" s="848" t="str">
        <f>Datos!A13</f>
        <v>TOTAL</v>
      </c>
      <c r="B13" s="849">
        <f>SUBTOTAL(9,B9:B12)</f>
        <v>422</v>
      </c>
      <c r="C13" s="853">
        <f>SUBTOTAL(9,C9:C12)</f>
        <v>184</v>
      </c>
      <c r="D13" s="851">
        <f>SUBTOTAL(9,D9:D12)</f>
        <v>7698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75</v>
      </c>
      <c r="C16" s="434">
        <f>IF(ISNUMBER(Datos!Q16),Datos!Q16," - ")</f>
        <v>51</v>
      </c>
      <c r="D16" s="408">
        <f>IF(ISNUMBER(Datos!R16),Datos!R16," - ")</f>
        <v>226</v>
      </c>
    </row>
    <row r="17" spans="1:4" ht="13.5" thickBot="1">
      <c r="A17" s="402" t="str">
        <f>Datos!A17</f>
        <v>Jdos. Violencia contra la mujer</v>
      </c>
      <c r="B17" s="433">
        <f>IF(ISNUMBER(Datos!P17),Datos!P17," - ")</f>
        <v>0</v>
      </c>
      <c r="C17" s="434">
        <f>IF(ISNUMBER(Datos!Q17),Datos!Q17," - ")</f>
        <v>2</v>
      </c>
      <c r="D17" s="408">
        <f>IF(ISNUMBER(Datos!R17),Datos!R17," - ")</f>
        <v>4</v>
      </c>
    </row>
    <row r="18" spans="1:4" ht="14.25" thickTop="1" thickBot="1">
      <c r="A18" s="848" t="str">
        <f>Datos!A18</f>
        <v>TOTAL</v>
      </c>
      <c r="B18" s="849">
        <f>SUBTOTAL(9,B15:B17)</f>
        <v>75</v>
      </c>
      <c r="C18" s="853">
        <f>SUBTOTAL(9,C15:C17)</f>
        <v>53</v>
      </c>
      <c r="D18" s="851">
        <f>SUBTOTAL(9,D15:D17)</f>
        <v>230</v>
      </c>
    </row>
    <row r="19" spans="1:4" ht="16.5" customHeight="1" thickTop="1" thickBot="1">
      <c r="A19" s="793" t="str">
        <f>Datos!A19</f>
        <v>TOTAL JURISDICCIONES</v>
      </c>
      <c r="B19" s="798">
        <f>SUBTOTAL(9,B8:B18)</f>
        <v>497</v>
      </c>
      <c r="C19" s="799">
        <f>SUBTOTAL(9,C8:C18)</f>
        <v>237</v>
      </c>
      <c r="D19" s="800">
        <f>SUBTOTAL(9,D8:D18)</f>
        <v>7928</v>
      </c>
    </row>
    <row r="20" spans="1:4" ht="7.5" customHeight="1"/>
    <row r="21" spans="1:4" ht="6" customHeight="1"/>
    <row r="22" spans="1:4">
      <c r="A22" s="391" t="str">
        <f>Criterios!A4</f>
        <v>Fecha Informe: 29 may. 2024</v>
      </c>
    </row>
    <row r="27" spans="1:4">
      <c r="A27" s="414"/>
    </row>
  </sheetData>
  <sheetProtection algorithmName="SHA-512" hashValue="mEH5OcbKzeJNo7eetjtBGYut1RjNqr+vjyCrV8hfpW0UtPd9+pEz1MaILOiewAb1qURGrQZ7lk44ktFgA6DOhQ==" saltValue="yPCJU2JNxgbUhIkfkkqf+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ROQUETAS DE MAR</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0.23456790123456789</v>
      </c>
      <c r="C10" s="456">
        <f>IF(ISNUMBER((Datos!J10-Datos!T10)/Datos!T10),(Datos!J10-Datos!T10)/Datos!T10," - ")</f>
        <v>0.2608695652173913</v>
      </c>
      <c r="D10" s="456">
        <f>IF(ISNUMBER((Datos!K10-Datos!U10)/Datos!U10),(Datos!K10-Datos!U10)/Datos!U10," - ")</f>
        <v>-0.31428571428571428</v>
      </c>
      <c r="E10" s="456">
        <f>IF(ISNUMBER((Datos!L10-Datos!V10)/Datos!V10),(Datos!L10-Datos!V10)/Datos!V10," - ")</f>
        <v>0.35761589403973509</v>
      </c>
      <c r="F10" s="456">
        <f>IF(ISNUMBER((Datos!M10-Datos!W10)/Datos!W10),(Datos!M10-Datos!W10)/Datos!W10," - ")</f>
        <v>-0.33333333333333331</v>
      </c>
      <c r="G10" s="457">
        <f>IF(ISNUMBER((Datos!N10-Datos!X10)/Datos!X10),(Datos!N10-Datos!X10)/Datos!X10," - ")</f>
        <v>-9.0909090909090912E-2</v>
      </c>
      <c r="H10" s="455">
        <f>IF(ISNUMBER(((NºAsuntos!G10/NºAsuntos!E10)-Datos!BD10)/Datos!BD10),((NºAsuntos!G10/NºAsuntos!E10)-Datos!BD10)/Datos!BD10," - ")</f>
        <v>-0.45615763546798033</v>
      </c>
      <c r="I10" s="456">
        <f>IF(ISNUMBER(((NºAsuntos!I10/NºAsuntos!G10)-Datos!BE10)/Datos!BE10),((NºAsuntos!I10/NºAsuntos!G10)-Datos!BE10)/Datos!BE10," - ")</f>
        <v>0.97985651214128033</v>
      </c>
      <c r="J10" s="461">
        <f>IF(ISNUMBER((('Resol  Asuntos'!D10/NºAsuntos!G10)-Datos!BF10)/Datos!BF10),(('Resol  Asuntos'!D10/NºAsuntos!G10)-Datos!BF10)/Datos!BF10," - ")</f>
        <v>-2.7777777777777679E-2</v>
      </c>
      <c r="K10" s="462">
        <f>IF(ISNUMBER((((NºAsuntos!C10+NºAsuntos!E10)/NºAsuntos!G10)-Datos!BG10)/Datos!BG10),(((NºAsuntos!C10+NºAsuntos!E10)/NºAsuntos!G10)-Datos!BG10)/Datos!BG10," - ")</f>
        <v>0.80518018018018012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0.20049228015215931</v>
      </c>
      <c r="C12" s="456">
        <f>IF(ISNUMBER(
   IF(J_V="SI",(Datos!J12-Datos!T12)/Datos!T12,(Datos!J12+Datos!Z12-(Datos!T12+Datos!AH12))/(Datos!T12+Datos!AH12))
     ),IF(J_V="SI",(Datos!J12-Datos!T12)/Datos!T12,(Datos!J12+Datos!Z12-(Datos!T12+Datos!AH12))/(Datos!T12+Datos!AH12))," - ")</f>
        <v>0.48148148148148145</v>
      </c>
      <c r="D12" s="456">
        <f>IF(ISNUMBER(
   IF(J_V="SI",(Datos!K12-Datos!U12)/Datos!U12,(Datos!K12+Datos!AA12-(Datos!U12+Datos!AI12))/(Datos!U12+Datos!AI12))
     ),IF(J_V="SI",(Datos!K12-Datos!U12)/Datos!U12,(Datos!K12+Datos!AA12-(Datos!U12+Datos!AI12))/(Datos!U12+Datos!AI12))," - ")</f>
        <v>0.37990685296074517</v>
      </c>
      <c r="E12" s="456">
        <f>IF(ISNUMBER(
   IF(J_V="SI",(Datos!L12-Datos!V12)/Datos!V12,(Datos!L12+Datos!AB12-(Datos!V12+Datos!AJ12))/(Datos!V12+Datos!AJ12))
     ),IF(J_V="SI",(Datos!L12-Datos!V12)/Datos!V12,(Datos!L12+Datos!AB12-(Datos!V12+Datos!AJ12))/(Datos!V12+Datos!AJ12))," - ")</f>
        <v>0.22857142857142856</v>
      </c>
      <c r="F12" s="456">
        <f>IF(ISNUMBER((Datos!M12-Datos!W12)/Datos!W12),(Datos!M12-Datos!W12)/Datos!W12," - ")</f>
        <v>0.4948805460750853</v>
      </c>
      <c r="G12" s="457">
        <f>IF(ISNUMBER((Datos!N12-Datos!X12)/Datos!X12),(Datos!N12-Datos!X12)/Datos!X12," - ")</f>
        <v>0.47142857142857142</v>
      </c>
      <c r="H12" s="455">
        <f>IF(ISNUMBER(((NºAsuntos!G12/NºAsuntos!E12)-Datos!BD12)/Datos!BD12),((NºAsuntos!G12/NºAsuntos!E12)-Datos!BD12)/Datos!BD12," - ")</f>
        <v>-6.8562874251496972E-2</v>
      </c>
      <c r="I12" s="456">
        <f>IF(ISNUMBER(((NºAsuntos!I12/NºAsuntos!G12)-Datos!BE12)/Datos!BE12),((NºAsuntos!I12/NºAsuntos!G12)-Datos!BE12)/Datos!BE12," - ")</f>
        <v>-0.10967075354732059</v>
      </c>
      <c r="J12" s="461">
        <f>IF(ISNUMBER((('Resol  Asuntos'!D12/NºAsuntos!G12)-Datos!BF12)/Datos!BF12),(('Resol  Asuntos'!D12/NºAsuntos!G12)-Datos!BF12)/Datos!BF12," - ")</f>
        <v>-0.4331915553106489</v>
      </c>
      <c r="K12" s="462">
        <f>IF(ISNUMBER((((NºAsuntos!C12+NºAsuntos!E12)/NºAsuntos!G12)-Datos!BG12)/Datos!BG12),(((NºAsuntos!C12+NºAsuntos!E12)/NºAsuntos!G12)-Datos!BG12)/Datos!BG12," - ")</f>
        <v>-8.2055380942750875E-2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0.20168430144677177</v>
      </c>
      <c r="C13" s="855">
        <f>IF(ISNUMBER(
   IF(J_V="SI",(Datos!J13-Datos!T13)/Datos!T13,(Datos!J13+Datos!Z13-(Datos!T13+Datos!AH13))/(Datos!T13+Datos!AH13))
     ),IF(J_V="SI",(Datos!J13-Datos!T13)/Datos!T13,(Datos!J13+Datos!Z13-(Datos!T13+Datos!AH13))/(Datos!T13+Datos!AH13))," - ")</f>
        <v>0.47785714285714287</v>
      </c>
      <c r="D13" s="855">
        <f>IF(ISNUMBER(
   IF(J_V="SI",(Datos!K13-Datos!U13)/Datos!U13,(Datos!K13+Datos!AA13-(Datos!U13+Datos!AI13))/(Datos!U13+Datos!AI13))
     ),IF(J_V="SI",(Datos!K13-Datos!U13)/Datos!U13,(Datos!K13+Datos!AA13-(Datos!U13+Datos!AI13))/(Datos!U13+Datos!AI13))," - ")</f>
        <v>0.36410923276983093</v>
      </c>
      <c r="E13" s="855">
        <f>IF(ISNUMBER(
   IF(J_V="SI",(Datos!L13-Datos!V13)/Datos!V13,(Datos!L13+Datos!AB13-(Datos!V13+Datos!AJ13))/(Datos!V13+Datos!AJ13))
     ),IF(J_V="SI",(Datos!L13-Datos!V13)/Datos!V13,(Datos!L13+Datos!AB13-(Datos!V13+Datos!AJ13))/(Datos!V13+Datos!AJ13))," - ")</f>
        <v>0.23291026497439324</v>
      </c>
      <c r="F13" s="856">
        <f>IF(ISNUMBER((Datos!M13-Datos!W13)/Datos!W13),(Datos!M13-Datos!W13)/Datos!W13," - ")</f>
        <v>0.43949044585987262</v>
      </c>
      <c r="G13" s="857">
        <f>IF(ISNUMBER((Datos!N13-Datos!X13)/Datos!X13),(Datos!N13-Datos!X13)/Datos!X13," - ")</f>
        <v>0.46059544658493873</v>
      </c>
      <c r="H13" s="857">
        <f>IF(ISNUMBER(((NºAsuntos!G13/NºAsuntos!E13)-Datos!BD13)/Datos!BD13),((NºAsuntos!G13/NºAsuntos!E13)-Datos!BD13)/Datos!BD13," - ")</f>
        <v>-7.6968136356808423E-2</v>
      </c>
      <c r="I13" s="857">
        <f>IF(ISNUMBER(((NºAsuntos!I13/NºAsuntos!G13)-Datos!BE13)/Datos!BE13),((NºAsuntos!I13/NºAsuntos!G13)-Datos!BE13)/Datos!BE13," - ")</f>
        <v>-9.6179224246607825E-2</v>
      </c>
      <c r="J13" s="857">
        <f>IF(ISNUMBER((('Resol  Asuntos'!D13/NºAsuntos!G13)-Datos!BF13)/Datos!BF13),(('Resol  Asuntos'!D13/NºAsuntos!G13)-Datos!BF13)/Datos!BF13," - ")</f>
        <v>-0.4296871538995421</v>
      </c>
      <c r="K13" s="857">
        <f>IF(ISNUMBER((((NºAsuntos!C13+NºAsuntos!E13)/NºAsuntos!G13)-Datos!BG13)/Datos!BG13),(((NºAsuntos!C13+NºAsuntos!E13)/NºAsuntos!G13)-Datos!BG13)/Datos!BG13," - ")</f>
        <v>-7.2073283902253316E-2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0.70759785111281659</v>
      </c>
      <c r="C16" s="456">
        <f>IF(ISNUMBER(
   IF(D_I="SI",(Datos!J16-Datos!T16)/Datos!T16,(Datos!J16+Datos!AD16-(Datos!T16+Datos!AL16))/(Datos!T16+Datos!AL16))
     ),IF(D_I="SI",(Datos!J16-Datos!T16)/Datos!T16,(Datos!J16+Datos!AD16-(Datos!T16+Datos!AL16))/(Datos!T16+Datos!AL16))," - ")</f>
        <v>-0.17712765957446808</v>
      </c>
      <c r="D16" s="456">
        <f>IF(ISNUMBER(
   IF(D_I="SI",(Datos!K16-Datos!U16)/Datos!U16,(Datos!K16+Datos!AE16-(Datos!U16+Datos!AM16))/(Datos!U16+Datos!AM16))
     ),IF(D_I="SI",(Datos!K16-Datos!U16)/Datos!U16,(Datos!K16+Datos!AE16-(Datos!U16+Datos!AM16))/(Datos!U16+Datos!AM16))," - ")</f>
        <v>4.9463647199046487E-2</v>
      </c>
      <c r="E16" s="456">
        <f>IF(ISNUMBER(
   IF(D_I="SI",(Datos!L16-Datos!V16)/Datos!V16,(Datos!L16+Datos!AF16-(Datos!V16+Datos!AN16))/(Datos!V16+Datos!AN16))
     ),IF(D_I="SI",(Datos!L16-Datos!V16)/Datos!V16,(Datos!L16+Datos!AF16-(Datos!V16+Datos!AN16))/(Datos!V16+Datos!AN16))," - ")</f>
        <v>0.33730158730158732</v>
      </c>
      <c r="F16" s="456">
        <f>IF(ISNUMBER((Datos!M16-Datos!W16)/Datos!W16),(Datos!M16-Datos!W16)/Datos!W16," - ")</f>
        <v>0.32113821138211385</v>
      </c>
      <c r="G16" s="457">
        <f>IF(ISNUMBER((Datos!N16-Datos!X16)/Datos!X16),(Datos!N16-Datos!X16)/Datos!X16," - ")</f>
        <v>9.5837366892545989E-2</v>
      </c>
      <c r="H16" s="455">
        <f>IF(ISNUMBER(((NºAsuntos!G16/NºAsuntos!E16)-Datos!BD16)/Datos!BD16),((NºAsuntos!G16/NºAsuntos!E16)-Datos!BD16)/Datos!BD16," - ")</f>
        <v>0.27536629394583528</v>
      </c>
      <c r="I16" s="456">
        <f>IF(ISNUMBER(((NºAsuntos!I16/NºAsuntos!G16)-Datos!BE16)/Datos!BE16),((NºAsuntos!I16/NºAsuntos!G16)-Datos!BE16)/Datos!BE16," - ")</f>
        <v>0.27427147273825303</v>
      </c>
      <c r="J16" s="461">
        <f>IF(ISNUMBER((('Resol  Asuntos'!D16/NºAsuntos!G16)-Datos!BF16)/Datos!BF16),(('Resol  Asuntos'!D16/NºAsuntos!G16)-Datos!BF16)/Datos!BF16," - ")</f>
        <v>0.25886991408244581</v>
      </c>
      <c r="K16" s="462">
        <f>IF(ISNUMBER((((NºAsuntos!C16+NºAsuntos!E16)/NºAsuntos!G16)-Datos!BG16)/Datos!BG16),(((NºAsuntos!C16+NºAsuntos!E16)/NºAsuntos!G16)-Datos!BG16)/Datos!BG16," - ")</f>
        <v>0.12919161866267462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0.12025316455696203</v>
      </c>
      <c r="C17" s="456">
        <f>IF(ISNUMBER(
   IF(D_I="SI",(Datos!J17-Datos!T17)/Datos!T17,(Datos!J17+Datos!AD17-(Datos!T17+Datos!AL17))/(Datos!T17+Datos!AL17))
     ),IF(D_I="SI",(Datos!J17-Datos!T17)/Datos!T17,(Datos!J17+Datos!AD17-(Datos!T17+Datos!AL17))/(Datos!T17+Datos!AL17))," - ")</f>
        <v>7.5471698113207544E-2</v>
      </c>
      <c r="D17" s="456">
        <f>IF(ISNUMBER(
   IF(D_I="SI",(Datos!K17-Datos!U17)/Datos!U17,(Datos!K17+Datos!AE17-(Datos!U17+Datos!AM17))/(Datos!U17+Datos!AM17))
     ),IF(D_I="SI",(Datos!K17-Datos!U17)/Datos!U17,(Datos!K17+Datos!AE17-(Datos!U17+Datos!AM17))/(Datos!U17+Datos!AM17))," - ")</f>
        <v>-7.650273224043716E-2</v>
      </c>
      <c r="E17" s="456">
        <f>IF(ISNUMBER(
   IF(D_I="SI",(Datos!L17-Datos!V17)/Datos!V17,(Datos!L17+Datos!AF17-(Datos!V17+Datos!AN17))/(Datos!V17+Datos!AN17))
     ),IF(D_I="SI",(Datos!L17-Datos!V17)/Datos!V17,(Datos!L17+Datos!AF17-(Datos!V17+Datos!AN17))/(Datos!V17+Datos!AN17))," - ")</f>
        <v>0.26203208556149732</v>
      </c>
      <c r="F17" s="456">
        <f>IF(ISNUMBER((Datos!M17-Datos!W17)/Datos!W17),(Datos!M17-Datos!W17)/Datos!W17," - ")</f>
        <v>-2.7027027027027029E-2</v>
      </c>
      <c r="G17" s="457">
        <f>IF(ISNUMBER((Datos!N17-Datos!X17)/Datos!X17),(Datos!N17-Datos!X17)/Datos!X17," - ")</f>
        <v>-0.42499999999999999</v>
      </c>
      <c r="H17" s="455">
        <f>IF(ISNUMBER(((NºAsuntos!G17/NºAsuntos!E17)-Datos!BD17)/Datos!BD17),((NºAsuntos!G17/NºAsuntos!E17)-Datos!BD17)/Datos!BD17," - ")</f>
        <v>-0.14130955804812578</v>
      </c>
      <c r="I17" s="456">
        <f>IF(ISNUMBER(((NºAsuntos!I17/NºAsuntos!G17)-Datos!BE17)/Datos!BE17),((NºAsuntos!I17/NºAsuntos!G17)-Datos!BE17)/Datos!BE17," - ")</f>
        <v>0.36657912223523081</v>
      </c>
      <c r="J17" s="461">
        <f>IF(ISNUMBER((('Resol  Asuntos'!D17/NºAsuntos!G17)-Datos!BF17)/Datos!BF17),(('Resol  Asuntos'!D17/NºAsuntos!G17)-Datos!BF17)/Datos!BF17," - ")</f>
        <v>5.3574284343515126E-2</v>
      </c>
      <c r="K17" s="462">
        <f>IF(ISNUMBER((((NºAsuntos!C17+NºAsuntos!E17)/NºAsuntos!G17)-Datos!BG17)/Datos!BG17),(((NºAsuntos!C17+NºAsuntos!E17)/NºAsuntos!G17)-Datos!BG17)/Datos!BG17," - ")</f>
        <v>0.1852710698864545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0.64407939767282685</v>
      </c>
      <c r="C18" s="855">
        <f>IF(ISNUMBER(
   IF(Criterios!B14="SI",(Datos!J18-Datos!T18)/Datos!T18,(Datos!J18+Datos!AD18-(Datos!T18+Datos!AL18))/(Datos!T18+Datos!AL18))
     ),IF(Criterios!B14="SI",(Datos!J18-Datos!T18)/Datos!T18,(Datos!J18+Datos!AD18-(Datos!T18+Datos!AL18))/(Datos!T18+Datos!AL18))," - ")</f>
        <v>-0.15152963671128106</v>
      </c>
      <c r="D18" s="855">
        <f>IF(ISNUMBER(
   IF(Criterios!B14="SI",(Datos!K18-Datos!U18)/Datos!U18,(Datos!K18+Datos!AE18-(Datos!U18+Datos!AM18))/(Datos!U18+Datos!AM18))
     ),IF(Criterios!B14="SI",(Datos!K18-Datos!U18)/Datos!U18,(Datos!K18+Datos!AE18-(Datos!U18+Datos!AM18))/(Datos!U18+Datos!AM18))," - ")</f>
        <v>3.7076840408382591E-2</v>
      </c>
      <c r="E18" s="855">
        <f>IF(ISNUMBER(
   IF(Criterios!B14="SI",(Datos!L18-Datos!V18)/Datos!V18,(Datos!L18+Datos!AF18-(Datos!V18+Datos!AN18))/(Datos!V18+Datos!AN18))
     ),IF(Criterios!B14="SI",(Datos!L18-Datos!V18)/Datos!V18,(Datos!L18+Datos!AF18-(Datos!V18+Datos!AN18))/(Datos!V18+Datos!AN18))," - ")</f>
        <v>0.32901706886403764</v>
      </c>
      <c r="F18" s="856">
        <f>IF(ISNUMBER((Datos!M18-Datos!W18)/Datos!W18),(Datos!M18-Datos!W18)/Datos!W18," - ")</f>
        <v>0.2756183745583039</v>
      </c>
      <c r="G18" s="857">
        <f>IF(ISNUMBER((Datos!N18-Datos!X18)/Datos!X18),(Datos!N18-Datos!X18)/Datos!X18," - ")</f>
        <v>4.163052905464007E-2</v>
      </c>
      <c r="H18" s="857">
        <f>IF(ISNUMBER(((NºAsuntos!G18/NºAsuntos!E18)-Datos!BD18)/Datos!BD18),((NºAsuntos!G18/NºAsuntos!E18)-Datos!BD18)/Datos!BD18," - ")</f>
        <v>0.22229000007568261</v>
      </c>
      <c r="I18" s="857">
        <f>IF(ISNUMBER(((NºAsuntos!I18/NºAsuntos!G18)-Datos!BE18)/Datos!BE18),((NºAsuntos!I18/NºAsuntos!G18)-Datos!BE18)/Datos!BE18," - ")</f>
        <v>0.28150298712744759</v>
      </c>
      <c r="J18" s="857">
        <f>IF(ISNUMBER((('Resol  Asuntos'!D18/NºAsuntos!G18)-Datos!BF18)/Datos!BF18),(('Resol  Asuntos'!D18/NºAsuntos!G18)-Datos!BF18)/Datos!BF18," - ")</f>
        <v>0.23001336531243693</v>
      </c>
      <c r="K18" s="857">
        <f>IF(ISNUMBER((((NºAsuntos!C18+NºAsuntos!E18)/NºAsuntos!G18)-Datos!BG18)/Datos!BG18),(((NºAsuntos!C18+NºAsuntos!E18)/NºAsuntos!G18)-Datos!BG18)/Datos!BG18," - ")</f>
        <v>0.13359607075098182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0.30778069599474722</v>
      </c>
      <c r="C19" s="802">
        <f>IF(ISNUMBER(
   IF(J_V="SI",(Datos!J19-Datos!T19)/Datos!T19,(Datos!J19+Datos!Z19-(Datos!T19+Datos!AH19))/(Datos!T19+Datos!AH19))
     ),IF(J_V="SI",(Datos!J19-Datos!T19)/Datos!T19,(Datos!J19+Datos!Z19-(Datos!T19+Datos!AH19))/(Datos!T19+Datos!AH19))," - ")</f>
        <v>0.10080183276059565</v>
      </c>
      <c r="D19" s="802">
        <f>IF(ISNUMBER(
   IF(J_V="SI",(Datos!K19-Datos!U19)/Datos!U19,(Datos!K19+Datos!AA19-(Datos!U19+Datos!AI19))/(Datos!U19+Datos!AI19))
     ),IF(J_V="SI",(Datos!K19-Datos!U19)/Datos!U19,(Datos!K19+Datos!AA19-(Datos!U19+Datos!AI19))/(Datos!U19+Datos!AI19))," - ")</f>
        <v>0.18505442777287437</v>
      </c>
      <c r="E19" s="802">
        <f>IF(ISNUMBER(
   IF(J_V="SI",(Datos!L19-Datos!V19)/Datos!V19,(Datos!L19+Datos!AB19-(Datos!V19+Datos!AJ19))/(Datos!V19+Datos!AJ19))
     ),IF(J_V="SI",(Datos!L19-Datos!V19)/Datos!V19,(Datos!L19+Datos!AB19-(Datos!V19+Datos!AJ19))/(Datos!V19+Datos!AJ19))," - ")</f>
        <v>0.25928917609046848</v>
      </c>
      <c r="F19" s="803">
        <f>IF(ISNUMBER((Datos!M19-Datos!W19)/Datos!W19),(Datos!M19-Datos!W19)/Datos!W19," - ")</f>
        <v>0.36180904522613067</v>
      </c>
      <c r="G19" s="804">
        <f>IF(ISNUMBER((Datos!N19-Datos!X19)/Datos!X19),(Datos!N19-Datos!X19)/Datos!X19," - ")</f>
        <v>0.18039443155452436</v>
      </c>
      <c r="H19" s="805">
        <f>IF(ISNUMBER((Tasas!B19-Datos!BD19)/Datos!BD19),(Tasas!B19-Datos!BD19)/Datos!BD19," - ")</f>
        <v>7.653747705069662E-2</v>
      </c>
      <c r="I19" s="806">
        <f>IF(ISNUMBER((Tasas!C19-Datos!BE19)/Datos!BE19),(Tasas!C19-Datos!BE19)/Datos!BE19," - ")</f>
        <v>6.2642480022716607E-2</v>
      </c>
      <c r="J19" s="807">
        <f>IF(ISNUMBER((Tasas!D19-Datos!BF19)/Datos!BF19),(Tasas!D19-Datos!BF19)/Datos!BF19," - ")</f>
        <v>-0.2059670845746441</v>
      </c>
      <c r="K19" s="807">
        <f>IF(ISNUMBER((Tasas!E19-Datos!BG19)/Datos!BG19),(Tasas!E19-Datos!BG19)/Datos!BG19," - ")</f>
        <v>3.9923918422461825E-2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Y8NpBUsuSIpqpQ5H1me5va1JZsndCQZOBGhKg4xkoKNz0ih0QgEXmWnEj7nC3zekY7qctOOahC6KnygDkAisA==" saltValue="8CBh5I6Btja1bEd4/R7y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ROQUETAS DE MAR</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0.82758620689655171</v>
      </c>
      <c r="C10" s="443">
        <f>IF(ISNUMBER(NºAsuntos!I10/NºAsuntos!G10),NºAsuntos!I10/NºAsuntos!G10," - ")</f>
        <v>8.5416666666666661</v>
      </c>
      <c r="D10" s="444">
        <f>IF(ISNUMBER('Resol  Asuntos'!D10/NºAsuntos!G10),'Resol  Asuntos'!D10/NºAsuntos!G10," - ")</f>
        <v>0.58333333333333337</v>
      </c>
      <c r="E10" s="445">
        <f>IF(ISNUMBER((NºAsuntos!C10+NºAsuntos!E10)/NºAsuntos!G10),(NºAsuntos!C10+NºAsuntos!E10)/NºAsuntos!G10," - ")</f>
        <v>9.5416666666666661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1.0166666666666666</v>
      </c>
      <c r="C12" s="443">
        <f>IF(ISNUMBER(NºAsuntos!I12/NºAsuntos!G12),NºAsuntos!I12/NºAsuntos!G12," - ")</f>
        <v>2.5708775313404049</v>
      </c>
      <c r="D12" s="444">
        <f>IF(ISNUMBER('Resol  Asuntos'!D12/NºAsuntos!G12),'Resol  Asuntos'!D12/NºAsuntos!G12," - ")</f>
        <v>0.2111861137897782</v>
      </c>
      <c r="E12" s="445">
        <f>IF(ISNUMBER((NºAsuntos!C12+NºAsuntos!E12)/NºAsuntos!G12),(NºAsuntos!C12+NºAsuntos!E12)/NºAsuntos!G12," - ")</f>
        <v>3.5703953712632592</v>
      </c>
      <c r="G12" s="463"/>
    </row>
    <row r="13" spans="1:7" ht="14.25" thickTop="1" thickBot="1">
      <c r="A13" s="848" t="str">
        <f>Datos!A13</f>
        <v>TOTAL</v>
      </c>
      <c r="B13" s="858">
        <f>IF(ISNUMBER(NºAsuntos!G13/NºAsuntos!E13),NºAsuntos!G13/NºAsuntos!E13," - ")</f>
        <v>1.014016433059449</v>
      </c>
      <c r="C13" s="859">
        <f>IF(ISNUMBER(NºAsuntos!I13/NºAsuntos!G13),NºAsuntos!I13/NºAsuntos!G13," - ")</f>
        <v>2.6391801715919923</v>
      </c>
      <c r="D13" s="860">
        <f>IF(ISNUMBER('Resol  Asuntos'!D13/NºAsuntos!G13),'Resol  Asuntos'!D13/NºAsuntos!G13," - ")</f>
        <v>0.21544327931363202</v>
      </c>
      <c r="E13" s="861">
        <f>IF(ISNUMBER((NºAsuntos!C13+NºAsuntos!E13)/NºAsuntos!G13),(NºAsuntos!C13+NºAsuntos!E13)/NºAsuntos!G13," - ")</f>
        <v>3.6387035271687322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1.1383322559793148</v>
      </c>
      <c r="C16" s="443">
        <f>IF(ISNUMBER(NºAsuntos!I16/NºAsuntos!G16),NºAsuntos!I16/NºAsuntos!G16," - ")</f>
        <v>1.1482112436115843</v>
      </c>
      <c r="D16" s="444">
        <f>IF(ISNUMBER('Resol  Asuntos'!D16/NºAsuntos!G16),'Resol  Asuntos'!D16/NºAsuntos!G16," - ")</f>
        <v>0.1845542305508234</v>
      </c>
      <c r="E16" s="445">
        <f>IF(ISNUMBER((NºAsuntos!C16+NºAsuntos!E16)/NºAsuntos!G16),(NºAsuntos!C16+NºAsuntos!E16)/NºAsuntos!G16," - ")</f>
        <v>2.1419647927314025</v>
      </c>
      <c r="G16" s="463"/>
    </row>
    <row r="17" spans="1:7" ht="13.5" thickBot="1">
      <c r="A17" s="402" t="str">
        <f>Datos!A17</f>
        <v>Jdos. Violencia contra la mujer</v>
      </c>
      <c r="B17" s="442">
        <f>IF(ISNUMBER(NºAsuntos!G17/NºAsuntos!E17),NºAsuntos!G17/NºAsuntos!E17," - ")</f>
        <v>0.74122807017543857</v>
      </c>
      <c r="C17" s="443">
        <f>IF(ISNUMBER(NºAsuntos!I17/NºAsuntos!G17),NºAsuntos!I17/NºAsuntos!G17," - ")</f>
        <v>1.3964497041420119</v>
      </c>
      <c r="D17" s="444">
        <f>IF(ISNUMBER('Resol  Asuntos'!D17/NºAsuntos!G17),'Resol  Asuntos'!D17/NºAsuntos!G17," - ")</f>
        <v>0.21301775147928995</v>
      </c>
      <c r="E17" s="445">
        <f>IF(ISNUMBER((NºAsuntos!C17+NºAsuntos!E17)/NºAsuntos!G17),(NºAsuntos!C17+NºAsuntos!E17)/NºAsuntos!G17," - ")</f>
        <v>2.3964497041420119</v>
      </c>
      <c r="G17" s="463"/>
    </row>
    <row r="18" spans="1:7" ht="14.25" thickTop="1" thickBot="1">
      <c r="A18" s="848" t="str">
        <f>Datos!A18</f>
        <v>TOTAL</v>
      </c>
      <c r="B18" s="858">
        <f>IF(ISNUMBER(NºAsuntos!G18/NºAsuntos!E18),NºAsuntos!G18/NºAsuntos!E18," - ")</f>
        <v>1.0873239436619719</v>
      </c>
      <c r="C18" s="859">
        <f>IF(ISNUMBER(NºAsuntos!I18/NºAsuntos!G18),NºAsuntos!I18/NºAsuntos!G18," - ")</f>
        <v>1.1699481865284973</v>
      </c>
      <c r="D18" s="862">
        <f>IF(ISNUMBER('Resol  Asuntos'!D18/NºAsuntos!G18),'Resol  Asuntos'!D18/NºAsuntos!G18," - ")</f>
        <v>0.18704663212435232</v>
      </c>
      <c r="E18" s="861">
        <f>IF(ISNUMBER((NºAsuntos!C18+NºAsuntos!E18)/NºAsuntos!G18),(NºAsuntos!C18+NºAsuntos!E18)/NºAsuntos!G18," - ")</f>
        <v>2.1642487046632124</v>
      </c>
      <c r="G18" s="463"/>
    </row>
    <row r="19" spans="1:7" ht="15.75" customHeight="1" thickTop="1" thickBot="1">
      <c r="A19" s="793" t="str">
        <f>Datos!A19</f>
        <v>TOTAL JURISDICCIONES</v>
      </c>
      <c r="B19" s="808">
        <f>IF(ISNUMBER(NºAsuntos!G19/NºAsuntos!E19),NºAsuntos!G19/NºAsuntos!E19," - ")</f>
        <v>1.0478668054110303</v>
      </c>
      <c r="C19" s="809">
        <f>IF(ISNUMBER(NºAsuntos!I19/NºAsuntos!G19),NºAsuntos!I19/NºAsuntos!G19," - ")</f>
        <v>1.9352035749751737</v>
      </c>
      <c r="D19" s="810">
        <f>IF(ISNUMBER('Resol  Asuntos'!D19/NºAsuntos!G19),'Resol  Asuntos'!D19/NºAsuntos!G19," - ")</f>
        <v>0.20183714001986097</v>
      </c>
      <c r="E19" s="811">
        <f>IF(ISNUMBER((NºAsuntos!C19+NºAsuntos!E19)/NºAsuntos!G19),(NºAsuntos!C19+NºAsuntos!E19)/NºAsuntos!G19," - ")</f>
        <v>2.9322244289970207</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kyhKMKbZgzXEocoy2bsVm9jt1IUl8QVrzdCkoevQve42Y3imni9/zxVPvghpNsI3zOGdgPNUNxw71U2IGBBjg==" saltValue="NWHhV2XO2iSjDQC+LjsV7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ROQUETAS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200</v>
      </c>
      <c r="G10" s="333">
        <f>IF(ISNUMBER(Datos!I10),Datos!I10," - ")</f>
        <v>200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2</v>
      </c>
      <c r="Y10" s="334">
        <f t="shared" ref="Y10:Y12" si="0">SUM(W10:X10)</f>
        <v>26</v>
      </c>
      <c r="Z10" s="335" t="str">
        <f>IF(ISNUMBER(Datos!CC10),Datos!CC10," - ")</f>
        <v xml:space="preserve"> - </v>
      </c>
      <c r="AA10" s="332">
        <f>IF(ISNUMBER(Datos!L10),Datos!L10,"-")</f>
        <v>205</v>
      </c>
      <c r="AB10" s="334">
        <f>IF(ISNUMBER(Datos!R10),Datos!R10," - ")</f>
        <v>54</v>
      </c>
      <c r="AC10" s="334">
        <f t="shared" ref="AC10:AC12" si="1">IF(ISNUMBER(AA10+AB10),AA10+AB10," - ")</f>
        <v>259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0.82758620689655171</v>
      </c>
      <c r="AM10" s="260">
        <f>IF(ISNUMBER(((NºAsuntos!I10/NºAsuntos!G10)*11)/factor_trimestre),((NºAsuntos!I10/NºAsuntos!G10)*11)/factor_trimestre," - ")</f>
        <v>25.625</v>
      </c>
      <c r="AN10" s="244">
        <f>IF(ISNUMBER('Resol  Asuntos'!D10/NºAsuntos!G10),'Resol  Asuntos'!D10/NºAsuntos!G10," - ")</f>
        <v>0.58333333333333337</v>
      </c>
      <c r="AO10" s="245">
        <f>IF(ISNUMBER((NºAsuntos!C10+NºAsuntos!E10)/NºAsuntos!G10),(NºAsuntos!C10+NºAsuntos!E10)/NºAsuntos!G10," - ")</f>
        <v>9.5416666666666661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182</v>
      </c>
      <c r="Y12" s="334">
        <f t="shared" si="0"/>
        <v>182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438</v>
      </c>
      <c r="AJ12" s="229" t="str">
        <f>IF(ISNUMBER(Datos!BW12),Datos!BW12," - ")</f>
        <v xml:space="preserve"> - </v>
      </c>
      <c r="AK12" s="228" t="str">
        <f>IF(ISNUMBER(Datos!BX12),Datos!BX12," - ")</f>
        <v xml:space="preserve"> - </v>
      </c>
      <c r="AL12" s="243">
        <f>IF(ISNUMBER(NºAsuntos!G12/NºAsuntos!E12),NºAsuntos!G12/NºAsuntos!E12," - ")</f>
        <v>1.0166666666666666</v>
      </c>
      <c r="AM12" s="260">
        <f>IF(ISNUMBER(((NºAsuntos!I12/NºAsuntos!G12)*11)/factor_trimestre),((NºAsuntos!I12/NºAsuntos!G12)*11)/factor_trimestre," - ")</f>
        <v>7.7126325940212155</v>
      </c>
      <c r="AN12" s="244">
        <f>IF(ISNUMBER('Resol  Asuntos'!D12/NºAsuntos!G12),'Resol  Asuntos'!D12/NºAsuntos!G12," - ")</f>
        <v>0.2111861137897782</v>
      </c>
      <c r="AO12" s="245">
        <f>IF(ISNUMBER((NºAsuntos!C12+NºAsuntos!E12)/NºAsuntos!G12),(NºAsuntos!C12+NºAsuntos!E12)/NºAsuntos!G12," - ")</f>
        <v>3.5703953712632592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200</v>
      </c>
      <c r="G13" s="866">
        <f t="shared" si="3"/>
        <v>200</v>
      </c>
      <c r="H13" s="865">
        <f t="shared" si="3"/>
        <v>0</v>
      </c>
      <c r="I13" s="867">
        <f t="shared" si="3"/>
        <v>0</v>
      </c>
      <c r="J13" s="867">
        <f t="shared" si="3"/>
        <v>0</v>
      </c>
      <c r="K13" s="867">
        <f t="shared" si="3"/>
        <v>0</v>
      </c>
      <c r="L13" s="867">
        <f t="shared" si="3"/>
        <v>422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184</v>
      </c>
      <c r="Y13" s="868">
        <f t="shared" si="4"/>
        <v>208</v>
      </c>
      <c r="Z13" s="868">
        <f t="shared" si="4"/>
        <v>0</v>
      </c>
      <c r="AA13" s="868">
        <f t="shared" si="4"/>
        <v>205</v>
      </c>
      <c r="AB13" s="868">
        <f t="shared" si="4"/>
        <v>7698</v>
      </c>
      <c r="AC13" s="868">
        <f t="shared" si="4"/>
        <v>259</v>
      </c>
      <c r="AD13" s="868">
        <f t="shared" si="4"/>
        <v>0</v>
      </c>
      <c r="AE13" s="872">
        <f t="shared" si="4"/>
        <v>0</v>
      </c>
      <c r="AF13" s="865">
        <f t="shared" si="4"/>
        <v>0</v>
      </c>
      <c r="AG13" s="873">
        <f t="shared" si="4"/>
        <v>0</v>
      </c>
      <c r="AH13" s="870">
        <f t="shared" si="4"/>
        <v>0</v>
      </c>
      <c r="AI13" s="865">
        <f t="shared" si="4"/>
        <v>452</v>
      </c>
      <c r="AJ13" s="867">
        <f t="shared" si="4"/>
        <v>0</v>
      </c>
      <c r="AK13" s="870">
        <f>SUBTOTAL(9,AK9:AK12)</f>
        <v>0</v>
      </c>
      <c r="AL13" s="874">
        <f>IF(ISNUMBER(NºAsuntos!G13/NºAsuntos!E13),NºAsuntos!G13/NºAsuntos!E13," - ")</f>
        <v>1.014016433059449</v>
      </c>
      <c r="AM13" s="874">
        <f>IF(ISNUMBER(((NºAsuntos!I13/NºAsuntos!G13)*11)/factor_trimestre),((NºAsuntos!I13/NºAsuntos!G13)*11)/factor_trimestre," - ")</f>
        <v>7.9175405147759763</v>
      </c>
      <c r="AN13" s="875">
        <f>IF(ISNUMBER('Resol  Asuntos'!D13/NºAsuntos!G13),'Resol  Asuntos'!D13/NºAsuntos!G13," - ")</f>
        <v>0.21544327931363202</v>
      </c>
      <c r="AO13" s="876">
        <f>IF(ISNUMBER((NºAsuntos!C13+NºAsuntos!E13)/NºAsuntos!G13),(NºAsuntos!C13+NºAsuntos!E13)/NºAsuntos!G13," - ")</f>
        <v>3.6387035271687322</v>
      </c>
      <c r="AP13" s="877" t="str">
        <f t="shared" si="2"/>
        <v xml:space="preserve"> - </v>
      </c>
      <c r="AQ13" s="877">
        <f>IF(ISNUMBER((H13-W13+K13)/(F13)),(H13-W13+K13)/(F13)," - ")</f>
        <v>-0.12</v>
      </c>
      <c r="AR13" s="878">
        <f>IF(ISNUMBER((Datos!P13-Datos!Q13)/(Datos!R13-Datos!P13+Datos!Q13)),(Datos!P13-Datos!Q13)/(Datos!R13-Datos!P13+Datos!Q13)," - ")</f>
        <v>3.1903485254691687E-2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2236</v>
      </c>
      <c r="G16" s="333">
        <f>IF(ISNUMBER(IF(D_I="SI",Datos!I16,Datos!I16+Datos!AC16)),IF(D_I="SI",Datos!I16,Datos!I16+Datos!AC16)," - ")</f>
        <v>2225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1761</v>
      </c>
      <c r="X16" s="226">
        <f>IF(ISNUMBER(Datos!Q16),Datos!Q16," - ")</f>
        <v>51</v>
      </c>
      <c r="Y16" s="334">
        <f t="shared" ref="Y16:Y17" si="7">SUM(W16:X16)</f>
        <v>1812</v>
      </c>
      <c r="Z16" s="335" t="str">
        <f>IF(ISNUMBER(Datos!CC16),Datos!CC16," - ")</f>
        <v xml:space="preserve"> - </v>
      </c>
      <c r="AA16" s="332">
        <f>IF(ISNUMBER(IF(D_I="SI",Datos!L16,Datos!L16+Datos!AF16)),IF(D_I="SI",Datos!L16,Datos!L16+Datos!AF16)," - ")</f>
        <v>2022</v>
      </c>
      <c r="AB16" s="334">
        <f>IF(ISNUMBER(Datos!R16),Datos!R16," - ")</f>
        <v>226</v>
      </c>
      <c r="AC16" s="334">
        <f t="shared" si="6"/>
        <v>2248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325</v>
      </c>
      <c r="AJ16" s="231" t="str">
        <f>IF(ISNUMBER(Datos!BW16),Datos!BW16," - ")</f>
        <v xml:space="preserve"> - </v>
      </c>
      <c r="AK16" s="232" t="str">
        <f>IF(ISNUMBER(Datos!BX16),Datos!BX16," - ")</f>
        <v xml:space="preserve"> - </v>
      </c>
      <c r="AL16" s="243">
        <f>IF(ISNUMBER(NºAsuntos!G16/NºAsuntos!E16),NºAsuntos!G16/NºAsuntos!E16," - ")</f>
        <v>1.1383322559793148</v>
      </c>
      <c r="AM16" s="260">
        <f>IF(ISNUMBER(((NºAsuntos!I16/NºAsuntos!G16)*11)/factor_trimestre),((NºAsuntos!I16/NºAsuntos!G16)*11)/factor_trimestre," - ")</f>
        <v>3.4446337308347528</v>
      </c>
      <c r="AN16" s="244">
        <f>IF(ISNUMBER('Resol  Asuntos'!D16/NºAsuntos!G16),'Resol  Asuntos'!D16/NºAsuntos!G16," - ")</f>
        <v>0.1845542305508234</v>
      </c>
      <c r="AO16" s="245">
        <f>IF(ISNUMBER((NºAsuntos!C16+NºAsuntos!E16)/NºAsuntos!G16),(NºAsuntos!C16+NºAsuntos!E16)/NºAsuntos!G16," - ")</f>
        <v>2.1419647927314025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169</v>
      </c>
      <c r="X17" s="226">
        <f>IF(ISNUMBER(Datos!Q17),Datos!Q17," - ")</f>
        <v>2</v>
      </c>
      <c r="Y17" s="334">
        <f t="shared" si="7"/>
        <v>171</v>
      </c>
      <c r="Z17" s="335" t="str">
        <f>IF(ISNUMBER(Datos!CC17),Datos!CC17," - ")</f>
        <v xml:space="preserve"> - </v>
      </c>
      <c r="AA17" s="332">
        <f>IF(ISNUMBER(Datos!L17),Datos!L17,"-")</f>
        <v>236</v>
      </c>
      <c r="AB17" s="334">
        <f>IF(ISNUMBER(Datos!R17),Datos!R17," - ")</f>
        <v>4</v>
      </c>
      <c r="AC17" s="334">
        <f t="shared" si="6"/>
        <v>240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0.74122807017543857</v>
      </c>
      <c r="AM17" s="260">
        <f>IF(ISNUMBER(((NºAsuntos!I17/NºAsuntos!G17)*11)/factor_trimestre),((NºAsuntos!I17/NºAsuntos!G17)*11)/factor_trimestre," - ")</f>
        <v>4.1893491124260356</v>
      </c>
      <c r="AN17" s="244">
        <f>IF(ISNUMBER('Resol  Asuntos'!D17/NºAsuntos!G17),'Resol  Asuntos'!D17/NºAsuntos!G17," - ")</f>
        <v>0.21301775147928995</v>
      </c>
      <c r="AO17" s="245">
        <f>IF(ISNUMBER((NºAsuntos!C17+NºAsuntos!E17)/NºAsuntos!G17),(NºAsuntos!C17+NºAsuntos!E17)/NºAsuntos!G17," - ")</f>
        <v>2.3964497041420119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2236</v>
      </c>
      <c r="G18" s="866">
        <f>SUBTOTAL(9,G15:G17)</f>
        <v>2402</v>
      </c>
      <c r="H18" s="865">
        <f t="shared" ref="H18:O18" si="10">SUBTOTAL(9,H14:H17)</f>
        <v>0</v>
      </c>
      <c r="I18" s="867">
        <f t="shared" si="10"/>
        <v>0</v>
      </c>
      <c r="J18" s="867">
        <f t="shared" si="10"/>
        <v>0</v>
      </c>
      <c r="K18" s="867">
        <f t="shared" si="10"/>
        <v>0</v>
      </c>
      <c r="L18" s="867">
        <f t="shared" si="10"/>
        <v>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1930</v>
      </c>
      <c r="X18" s="867">
        <f t="shared" si="11"/>
        <v>53</v>
      </c>
      <c r="Y18" s="868">
        <f t="shared" si="11"/>
        <v>1983</v>
      </c>
      <c r="Z18" s="868">
        <f t="shared" si="11"/>
        <v>0</v>
      </c>
      <c r="AA18" s="868">
        <f t="shared" si="11"/>
        <v>2258</v>
      </c>
      <c r="AB18" s="868">
        <f t="shared" si="11"/>
        <v>230</v>
      </c>
      <c r="AC18" s="868">
        <f t="shared" si="11"/>
        <v>2488</v>
      </c>
      <c r="AD18" s="868">
        <f t="shared" si="11"/>
        <v>0</v>
      </c>
      <c r="AE18" s="872">
        <f t="shared" si="11"/>
        <v>0</v>
      </c>
      <c r="AF18" s="865">
        <f t="shared" si="11"/>
        <v>0</v>
      </c>
      <c r="AG18" s="873">
        <f t="shared" si="11"/>
        <v>0</v>
      </c>
      <c r="AH18" s="870">
        <f t="shared" si="11"/>
        <v>0</v>
      </c>
      <c r="AI18" s="865">
        <f t="shared" si="11"/>
        <v>361</v>
      </c>
      <c r="AJ18" s="867">
        <f t="shared" si="11"/>
        <v>0</v>
      </c>
      <c r="AK18" s="870">
        <f t="shared" si="11"/>
        <v>0</v>
      </c>
      <c r="AL18" s="874">
        <f>IF(ISNUMBER(NºAsuntos!G18/NºAsuntos!E18),NºAsuntos!G18/NºAsuntos!E18," - ")</f>
        <v>1.0873239436619719</v>
      </c>
      <c r="AM18" s="874">
        <f>IF(ISNUMBER(((NºAsuntos!I18/NºAsuntos!G18)*11)/factor_trimestre),((NºAsuntos!I18/NºAsuntos!G18)*11)/factor_trimestre," - ")</f>
        <v>3.5098445595854919</v>
      </c>
      <c r="AN18" s="875">
        <f>IF(ISNUMBER('Resol  Asuntos'!D18/NºAsuntos!G18),'Resol  Asuntos'!D18/NºAsuntos!G18," - ")</f>
        <v>0.18704663212435232</v>
      </c>
      <c r="AO18" s="876">
        <f>IF(ISNUMBER((NºAsuntos!C18+NºAsuntos!E18)/NºAsuntos!G18),(NºAsuntos!C18+NºAsuntos!E18)/NºAsuntos!G18," - ")</f>
        <v>2.1642487046632124</v>
      </c>
      <c r="AP18" s="877" t="str">
        <f t="shared" si="2"/>
        <v xml:space="preserve"> - </v>
      </c>
      <c r="AQ18" s="877">
        <f>IF(ISNUMBER((H18-W18+K18)/(F18)),(H18-W18+K18)/(F18)," - ")</f>
        <v>-0.86314847942754924</v>
      </c>
      <c r="AR18" s="878">
        <f>IF(ISNUMBER((Datos!P18-Datos!Q18)/(Datos!R18-Datos!P18+Datos!Q18)),(Datos!P18-Datos!Q18)/(Datos!R18-Datos!P18+Datos!Q18)," - ")</f>
        <v>0.10576923076923077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2436</v>
      </c>
      <c r="G19" s="821">
        <f t="shared" si="13"/>
        <v>2602</v>
      </c>
      <c r="H19" s="820">
        <f t="shared" si="13"/>
        <v>0</v>
      </c>
      <c r="I19" s="822">
        <f t="shared" si="13"/>
        <v>0</v>
      </c>
      <c r="J19" s="822">
        <f t="shared" si="13"/>
        <v>0</v>
      </c>
      <c r="K19" s="881">
        <f t="shared" si="13"/>
        <v>0</v>
      </c>
      <c r="L19" s="822">
        <f t="shared" si="13"/>
        <v>497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1954</v>
      </c>
      <c r="X19" s="821">
        <f t="shared" si="14"/>
        <v>237</v>
      </c>
      <c r="Y19" s="828">
        <f t="shared" si="14"/>
        <v>2191</v>
      </c>
      <c r="Z19" s="828">
        <f t="shared" si="14"/>
        <v>0</v>
      </c>
      <c r="AA19" s="828">
        <f t="shared" si="14"/>
        <v>2463</v>
      </c>
      <c r="AB19" s="828">
        <f t="shared" si="14"/>
        <v>7928</v>
      </c>
      <c r="AC19" s="828">
        <f t="shared" si="14"/>
        <v>2747</v>
      </c>
      <c r="AD19" s="828">
        <f t="shared" si="14"/>
        <v>0</v>
      </c>
      <c r="AE19" s="830">
        <f t="shared" si="14"/>
        <v>0</v>
      </c>
      <c r="AF19" s="831">
        <f t="shared" si="14"/>
        <v>0</v>
      </c>
      <c r="AG19" s="832">
        <f t="shared" si="14"/>
        <v>0</v>
      </c>
      <c r="AH19" s="830">
        <f t="shared" si="14"/>
        <v>0</v>
      </c>
      <c r="AI19" s="820">
        <f t="shared" si="14"/>
        <v>813</v>
      </c>
      <c r="AJ19" s="820">
        <f t="shared" si="14"/>
        <v>0</v>
      </c>
      <c r="AK19" s="830">
        <f t="shared" si="14"/>
        <v>0</v>
      </c>
      <c r="AL19" s="884">
        <f>IF(ISNUMBER(NºAsuntos!G19/NºAsuntos!E19),NºAsuntos!G19/NºAsuntos!E19," - ")</f>
        <v>1.0478668054110303</v>
      </c>
      <c r="AM19" s="885">
        <f>IF(ISNUMBER(((NºAsuntos!I19/NºAsuntos!G19)*11)/factor_trimestre),((NºAsuntos!I19/NºAsuntos!G19)*11)/factor_trimestre," - ")</f>
        <v>5.805610724925522</v>
      </c>
      <c r="AN19" s="885">
        <f>IF(ISNUMBER('Resol  Asuntos'!D19/NºAsuntos!G19),'Resol  Asuntos'!D19/NºAsuntos!G19," - ")</f>
        <v>0.20183714001986097</v>
      </c>
      <c r="AO19" s="886">
        <f>IF(ISNUMBER((NºAsuntos!C19+NºAsuntos!E19)/NºAsuntos!G19),(NºAsuntos!C19+NºAsuntos!E19)/NºAsuntos!G19," - ")</f>
        <v>2.9322244289970207</v>
      </c>
      <c r="AP19" s="887" t="str">
        <f t="shared" si="2"/>
        <v xml:space="preserve"> - </v>
      </c>
      <c r="AQ19" s="888">
        <f>IF(OR(ISNUMBER(FIND("01",Criterios!A8,1)),ISNUMBER(FIND("02",Criterios!A8,1)),ISNUMBER(FIND("03",Criterios!A8,1)),ISNUMBER(FIND("04",Criterios!A8,1))),(I19-W19+K19)/(F19-K19),(H19-W19+K19)/(F19-K19))</f>
        <v>-0.80213464696223313</v>
      </c>
      <c r="AR19" s="889">
        <f>IF(ISNUMBER((Datos!P19-Datos!Q19)/(Datos!R19-Datos!P19+Datos!Q19)),(Datos!P19-Datos!Q19)/(Datos!R19-Datos!P19+Datos!Q19)," - ")</f>
        <v>3.3907146583202923E-2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1175.4851480700779</v>
      </c>
      <c r="G21" s="253">
        <f>IF(ISNUMBER(STDEV(G8:G18)),STDEV(G8:G18),"-")</f>
        <v>1163.5328529955655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974.83860202599692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196.43828547408981</v>
      </c>
      <c r="AJ21" s="252">
        <f t="shared" si="18"/>
        <v>0</v>
      </c>
      <c r="AK21" s="254">
        <f t="shared" si="18"/>
        <v>0</v>
      </c>
      <c r="AL21" s="249">
        <f t="shared" si="18"/>
        <v>0.15416208230297798</v>
      </c>
      <c r="AM21" s="250">
        <f t="shared" si="18"/>
        <v>8.5198441486698169</v>
      </c>
      <c r="AN21" s="250">
        <f t="shared" si="18"/>
        <v>0.15616326037736111</v>
      </c>
      <c r="AO21" s="251">
        <f t="shared" si="18"/>
        <v>2.8414442069140269</v>
      </c>
      <c r="AP21" s="291" t="str">
        <f t="shared" si="18"/>
        <v>-</v>
      </c>
      <c r="AQ21" s="292">
        <f t="shared" si="18"/>
        <v>0.52548532923169156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OWBC1eey5YKd2hEFDN2OfpYF0jUA7sVS/FNTS36Ae9YFO+SYfrMGaHi/J6UIjBEg4xXVoOijGARUH4IZYBSRjA==" saltValue="Ab2QkwPOrnmnx6b5vMUQi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ROQUETAS DE MAR</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0.23456790123456789</v>
      </c>
      <c r="E10" s="348">
        <f>IF(ISNUMBER((Datos!J10-Datos!T10)/Datos!T10),(Datos!J10-Datos!T10)/Datos!T10," - ")</f>
        <v>0.2608695652173913</v>
      </c>
      <c r="F10" s="348">
        <f>IF(ISNUMBER((Datos!K10-Datos!U10)/Datos!U10),(Datos!K10-Datos!U10)/Datos!U10," - ")</f>
        <v>-0.31428571428571428</v>
      </c>
      <c r="G10" s="349">
        <f>IF(ISNUMBER((Datos!L10-Datos!V10)/Datos!V10),(Datos!L10-Datos!V10)/Datos!V10," - ")</f>
        <v>0.35761589403973509</v>
      </c>
      <c r="H10" s="230">
        <f>IF(ISNUMBER((Datos!M10-Datos!W10)/Datos!W10),(Datos!M10-Datos!W10)/Datos!W10," - ")</f>
        <v>-0.33333333333333331</v>
      </c>
      <c r="I10" s="350">
        <f>IF(ISNUMBER((Tasas!C10-Datos!BE10)/Datos!BE10),(Tasas!C10-Datos!BE10)/Datos!BE10," - ")</f>
        <v>0.97985651214128033</v>
      </c>
      <c r="J10" s="349">
        <f>IF(ISNUMBER((Tasas!D10-Datos!BF10)/Datos!BF10),(Tasas!D10-Datos!BF10)/Datos!BF10," - ")</f>
        <v>-2.7777777777777679E-2</v>
      </c>
      <c r="K10" s="351">
        <f>IF(ISNUMBER((Tasas!E10-Datos!BG10)/Datos!BG10),(Tasas!E10-Datos!BG10)/Datos!BG10," - ")</f>
        <v>0.80518018018018012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0.4948805460750853</v>
      </c>
      <c r="I12" s="350">
        <f>IF(ISNUMBER((Tasas!C12-Datos!BE12)/Datos!BE12),(Tasas!C12-Datos!BE12)/Datos!BE12," - ")</f>
        <v>-0.10967075354732059</v>
      </c>
      <c r="J12" s="349">
        <f>IF(ISNUMBER((Tasas!D12-Datos!BF12)/Datos!BF12),(Tasas!D12-Datos!BF12)/Datos!BF12," - ")</f>
        <v>-0.4331915553106489</v>
      </c>
      <c r="K12" s="351">
        <f>IF(ISNUMBER((Tasas!E12-Datos!BG12)/Datos!BG12),(Tasas!E12-Datos!BG12)/Datos!BG12," - ")</f>
        <v>-8.2055380942750875E-2</v>
      </c>
      <c r="M12" t="e">
        <f>IF(Monitorios="SI",Datos!CE12,0)</f>
        <v>#REF!</v>
      </c>
      <c r="N12" t="e">
        <f>IF(Monitorios="SI",Datos!CF12,0)</f>
        <v>#REF!</v>
      </c>
      <c r="O12" t="e">
        <f>IF(Monitorios="SI",Datos!CG12,0)</f>
        <v>#REF!</v>
      </c>
      <c r="P12" t="e">
        <f>IF(Monitorios="SI",Datos!CH12,0)</f>
        <v>#REF!</v>
      </c>
      <c r="Q12">
        <f>IF(J_V="SI",0,Datos!AG12)</f>
        <v>142</v>
      </c>
      <c r="R12">
        <f>IF(J_V="SI",0,Datos!AH12)</f>
        <v>53</v>
      </c>
      <c r="S12">
        <f>IF(J_V="SI",0,Datos!AI12)</f>
        <v>70</v>
      </c>
      <c r="T12">
        <f>IF(J_V="SI",0,Datos!AJ12)</f>
        <v>125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0.43949044585987262</v>
      </c>
      <c r="I13" s="357">
        <f>IF(ISNUMBER((Tasas!C13-Datos!BE13)/Datos!BE13),(Tasas!C13-Datos!BE13)/Datos!BE13," - ")</f>
        <v>-9.6179224246607825E-2</v>
      </c>
      <c r="J13" s="355">
        <f>IF(ISNUMBER((Tasas!D13-Datos!BF13)/Datos!BF13),(Tasas!D13-Datos!BF13)/Datos!BF13," - ")</f>
        <v>-0.4296871538995421</v>
      </c>
      <c r="K13" s="358">
        <f>IF(ISNUMBER((Tasas!E13-Datos!BG13)/Datos!BG13),(Tasas!E13-Datos!BG13)/Datos!BG13," - ")</f>
        <v>-7.2073283902253316E-2</v>
      </c>
      <c r="M13" t="e">
        <f>IF(Monitorios="SI",Datos!CE13,0)</f>
        <v>#REF!</v>
      </c>
      <c r="N13" t="e">
        <f>IF(Monitorios="SI",Datos!CF13,0)</f>
        <v>#REF!</v>
      </c>
      <c r="O13" t="e">
        <f>IF(Monitorios="SI",Datos!CG13,0)</f>
        <v>#REF!</v>
      </c>
      <c r="P13" t="e">
        <f>IF(Monitorios="SI",Datos!CH13,0)</f>
        <v>#REF!</v>
      </c>
      <c r="Q13">
        <f>IF(J_V="SI",0,Datos!AG13)</f>
        <v>142</v>
      </c>
      <c r="R13">
        <f>IF(J_V="SI",0,Datos!AH13)</f>
        <v>53</v>
      </c>
      <c r="S13">
        <f>IF(J_V="SI",0,Datos!AI13)</f>
        <v>70</v>
      </c>
      <c r="T13">
        <f>IF(J_V="SI",0,Datos!AJ13)</f>
        <v>125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0.70759785111281659</v>
      </c>
      <c r="E16" s="348">
        <f>IF(ISNUMBER(
   IF(D_I="SI",(Datos!J16-Datos!T16)/Datos!T16,(Datos!J16+Datos!AD16-(Datos!T16+Datos!AL16))/(Datos!T16+Datos!AL16))
     ),IF(D_I="SI",(Datos!J16-Datos!T16)/Datos!T16,(Datos!J16+Datos!AD16-(Datos!T16+Datos!AL16))/(Datos!T16+Datos!AL16))," - ")</f>
        <v>-0.17712765957446808</v>
      </c>
      <c r="F16" s="348">
        <f>IF(ISNUMBER(
   IF(D_I="SI",(Datos!K16-Datos!U16)/Datos!U16,(Datos!K16+Datos!AE16-(Datos!U16+Datos!AM16))/(Datos!U16+Datos!AM16))
     ),IF(D_I="SI",(Datos!K16-Datos!U16)/Datos!U16,(Datos!K16+Datos!AE16-(Datos!U16+Datos!AM16))/(Datos!U16+Datos!AM16))," - ")</f>
        <v>4.9463647199046487E-2</v>
      </c>
      <c r="G16" s="349">
        <f>IF(ISNUMBER(
   IF(D_I="SI",(Datos!L16-Datos!V16)/Datos!V16,(Datos!L16+Datos!AF16-(Datos!V16+Datos!AN16))/(Datos!V16+Datos!AN16))
     ),IF(D_I="SI",(Datos!L16-Datos!V16)/Datos!V16,(Datos!L16+Datos!AF16-(Datos!V16+Datos!AN16))/(Datos!V16+Datos!AN16))," - ")</f>
        <v>0.33730158730158732</v>
      </c>
      <c r="H16" s="230">
        <f>IF(ISNUMBER((Datos!M16-Datos!W16)/Datos!W16),(Datos!M16-Datos!W16)/Datos!W16," - ")</f>
        <v>0.32113821138211385</v>
      </c>
      <c r="I16" s="350">
        <f>IF(ISNUMBER((Tasas!C16-Datos!BE16)/Datos!BE16),(Tasas!C16-Datos!BE16)/Datos!BE16," - ")</f>
        <v>0.27427147273825303</v>
      </c>
      <c r="J16" s="349">
        <f>IF(ISNUMBER((Tasas!D16-Datos!BF16)/Datos!BF16),(Tasas!D16-Datos!BF16)/Datos!BF16," - ")</f>
        <v>0.25886991408244581</v>
      </c>
      <c r="K16" s="351">
        <f>IF(ISNUMBER((Tasas!E16-Datos!BG16)/Datos!BG16),(Tasas!E16-Datos!BG16)/Datos!BG16," - ")</f>
        <v>0.12919161866267462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0.12025316455696203</v>
      </c>
      <c r="E17" s="348">
        <f>IF(ISNUMBER(
   IF(D_I="SI",(Datos!J17-Datos!T17)/Datos!T17,(Datos!J17+Datos!AD17-(Datos!T17+Datos!AL17))/(Datos!T17+Datos!AL17))
     ),IF(D_I="SI",(Datos!J17-Datos!T17)/Datos!T17,(Datos!J17+Datos!AD17-(Datos!T17+Datos!AL17))/(Datos!T17+Datos!AL17))," - ")</f>
        <v>7.5471698113207544E-2</v>
      </c>
      <c r="F17" s="348">
        <f>IF(ISNUMBER(
   IF(D_I="SI",(Datos!K17-Datos!U17)/Datos!U17,(Datos!K17+Datos!AE17-(Datos!U17+Datos!AM17))/(Datos!U17+Datos!AM17))
     ),IF(D_I="SI",(Datos!K17-Datos!U17)/Datos!U17,(Datos!K17+Datos!AE17-(Datos!U17+Datos!AM17))/(Datos!U17+Datos!AM17))," - ")</f>
        <v>-7.650273224043716E-2</v>
      </c>
      <c r="G17" s="349">
        <f>IF(ISNUMBER(
   IF(D_I="SI",(Datos!L17-Datos!V17)/Datos!V17,(Datos!L17+Datos!AF17-(Datos!V17+Datos!AN17))/(Datos!V17+Datos!AN17))
     ),IF(D_I="SI",(Datos!L17-Datos!V17)/Datos!V17,(Datos!L17+Datos!AF17-(Datos!V17+Datos!AN17))/(Datos!V17+Datos!AN17))," - ")</f>
        <v>0.26203208556149732</v>
      </c>
      <c r="H17" s="230">
        <f>IF(ISNUMBER((Datos!M17-Datos!W17)/Datos!W17),(Datos!M17-Datos!W17)/Datos!W17," - ")</f>
        <v>-2.7027027027027029E-2</v>
      </c>
      <c r="I17" s="350">
        <f>IF(ISNUMBER((Tasas!C17-Datos!BE17)/Datos!BE17),(Tasas!C17-Datos!BE17)/Datos!BE17," - ")</f>
        <v>0.36657912223523081</v>
      </c>
      <c r="J17" s="349">
        <f>IF(ISNUMBER((Tasas!D17-Datos!BF17)/Datos!BF17),(Tasas!D17-Datos!BF17)/Datos!BF17," - ")</f>
        <v>5.3574284343515126E-2</v>
      </c>
      <c r="K17" s="351">
        <f>IF(ISNUMBER((Tasas!E17-Datos!BG17)/Datos!BG17),(Tasas!E17-Datos!BG17)/Datos!BG17," - ")</f>
        <v>0.1852710698864545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0.64407939767282685</v>
      </c>
      <c r="E18" s="354">
        <f>IF(ISNUMBER(
   IF(D_I="SI",(Datos!J18-Datos!T18)/Datos!T18,(Datos!J18+Datos!AD18-(Datos!T18+Datos!AL18))/(Datos!T18+Datos!AL18))
     ),IF(D_I="SI",(Datos!J18-Datos!T18)/Datos!T18,(Datos!J18+Datos!AD18-(Datos!T18+Datos!AL18))/(Datos!T18+Datos!AL18))," - ")</f>
        <v>-0.15152963671128106</v>
      </c>
      <c r="F18" s="354">
        <f>IF(ISNUMBER(
   IF(D_I="SI",(Datos!K18-Datos!U18)/Datos!U18,(Datos!K18+Datos!AE18-(Datos!U18+Datos!AM18))/(Datos!U18+Datos!AM18))
     ),IF(D_I="SI",(Datos!K18-Datos!U18)/Datos!U18,(Datos!K18+Datos!AE18-(Datos!U18+Datos!AM18))/(Datos!U18+Datos!AM18))," - ")</f>
        <v>3.7076840408382591E-2</v>
      </c>
      <c r="G18" s="355">
        <f>IF(ISNUMBER(
   IF(D_I="SI",(Datos!L18-Datos!V18)/Datos!V18,(Datos!L18+Datos!AF18-(Datos!V18+Datos!AN18))/(Datos!V18+Datos!AN18))
     ),IF(D_I="SI",(Datos!L18-Datos!V18)/Datos!V18,(Datos!L18+Datos!AF18-(Datos!V18+Datos!AN18))/(Datos!V18+Datos!AN18))," - ")</f>
        <v>0.32901706886403764</v>
      </c>
      <c r="H18" s="356">
        <f>IF(ISNUMBER((Datos!M18-Datos!W18)/Datos!W18),(Datos!M18-Datos!W18)/Datos!W18," - ")</f>
        <v>0.2756183745583039</v>
      </c>
      <c r="I18" s="357">
        <f>IF(ISNUMBER((Tasas!C18-Datos!BE18)/Datos!BE18),(Tasas!C18-Datos!BE18)/Datos!BE18," - ")</f>
        <v>0.28150298712744759</v>
      </c>
      <c r="J18" s="355">
        <f>IF(ISNUMBER((Tasas!D18-Datos!BF18)/Datos!BF18),(Tasas!D18-Datos!BF18)/Datos!BF18," - ")</f>
        <v>0.23001336531243693</v>
      </c>
      <c r="K18" s="358">
        <f>IF(ISNUMBER((Tasas!E18-Datos!BG18)/Datos!BG18),(Tasas!E18-Datos!BG18)/Datos!BG18," - ")</f>
        <v>0.13359607075098182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0.30778069599474722</v>
      </c>
      <c r="E19" s="363">
        <f>IF(ISNUMBER(
   IF(J_V="SI",(Datos!J19-Datos!T19)/Datos!T19,(Datos!J19+Datos!Z19-(Datos!T19+Datos!AH19))/(Datos!T19+Datos!AH19))
     ),IF(J_V="SI",(Datos!J19-Datos!T19)/Datos!T19,(Datos!J19+Datos!Z19-(Datos!T19+Datos!AH19))/(Datos!T19+Datos!AH19))," - ")</f>
        <v>0.10080183276059565</v>
      </c>
      <c r="F19" s="363">
        <f>IF(ISNUMBER(
   IF(J_V="SI",(Datos!K19-Datos!U19)/Datos!U19,(Datos!K19+Datos!AA19-(Datos!U19+Datos!AI19))/(Datos!U19+Datos!AI19))
     ),IF(J_V="SI",(Datos!K19-Datos!U19)/Datos!U19,(Datos!K19+Datos!AA19-(Datos!U19+Datos!AI19))/(Datos!U19+Datos!AI19))," - ")</f>
        <v>0.18505442777287437</v>
      </c>
      <c r="G19" s="364">
        <f>IF(ISNUMBER(
   IF(J_V="SI",(Datos!L19-Datos!V19)/Datos!V19,(Datos!L19+Datos!AB19-(Datos!V19+Datos!AJ19))/(Datos!V19+Datos!AJ19))
     ),IF(J_V="SI",(Datos!L19-Datos!V19)/Datos!V19,(Datos!L19+Datos!AB19-(Datos!V19+Datos!AJ19))/(Datos!V19+Datos!AJ19))," - ")</f>
        <v>0.25928917609046848</v>
      </c>
      <c r="H19" s="365">
        <f>IF(ISNUMBER((Datos!M19-Datos!W19)/Datos!W19),(Datos!M19-Datos!W19)/Datos!W19," - ")</f>
        <v>0.36180904522613067</v>
      </c>
      <c r="I19" s="362">
        <f>IF(ISNUMBER((Tasas!C19-Datos!BE19)/Datos!BE19),(Tasas!C19-Datos!BE19)/Datos!BE19," - ")</f>
        <v>6.2642480022716607E-2</v>
      </c>
      <c r="J19" s="363">
        <f>IF(ISNUMBER((Tasas!D19-Datos!BF19)/Datos!BF19),(Tasas!D19-Datos!BF19)/Datos!BF19," - ")</f>
        <v>-0.2059670845746441</v>
      </c>
      <c r="K19" s="364">
        <f>IF(ISNUMBER((Tasas!E19-Datos!BG19)/Datos!BG19),(Tasas!E19-Datos!BG19)/Datos!BG19," - ")</f>
        <v>3.9923918422461825E-2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0.29267831537254774</v>
      </c>
      <c r="E21" s="278">
        <f t="shared" si="1"/>
        <v>0.20661525034356071</v>
      </c>
      <c r="F21" s="278">
        <f t="shared" si="1"/>
        <v>0.16862959171577008</v>
      </c>
      <c r="G21" s="279">
        <f t="shared" si="1"/>
        <v>4.142055390430302E-2</v>
      </c>
      <c r="H21" s="285">
        <f t="shared" si="1"/>
        <v>0.31640041228036914</v>
      </c>
      <c r="I21" s="277">
        <f t="shared" si="1"/>
        <v>0.39765302790540674</v>
      </c>
      <c r="J21" s="278">
        <f t="shared" si="1"/>
        <v>0.30842842983334656</v>
      </c>
      <c r="K21" s="279">
        <f t="shared" si="1"/>
        <v>0.32488950557708518</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CMmzjWqc2FdW9Ph4rEM7002k6HRRrHGl6JPcrry6VJ76fm2K6+/Lo+gAWOOlzqtGgohNPND1Pm+K/4w2cNwTw==" saltValue="UNm+Y+Eav/WwONaoJ3hv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200</v>
      </c>
      <c r="D10" s="225">
        <f>IF(ISNUMBER(Datos!I10),Datos!I10," - ")</f>
        <v>200</v>
      </c>
      <c r="E10" s="226">
        <f>IF(ISNUMBER(Datos!J10),Datos!J10," - ")</f>
        <v>29</v>
      </c>
      <c r="F10" s="226">
        <f>IF(ISNUMBER(Datos!K10),Datos!K10," - ")</f>
        <v>24</v>
      </c>
      <c r="G10" s="1034" t="str">
        <f>IF(Datos!E10&lt;&gt;"",Datos!E10,Datos!D10)</f>
        <v>37</v>
      </c>
      <c r="H10" s="227">
        <f>IF(ISNUMBER(Datos!L10),Datos!L10," - ")</f>
        <v>205</v>
      </c>
      <c r="I10" s="1044" t="str">
        <f>IF(ISNUMBER(Datos!AS10/Datos!BM10),Datos!AS10/Datos!BM10," - ")</f>
        <v xml:space="preserve"> - </v>
      </c>
      <c r="J10" s="1045">
        <f>IF(ISNUMBER(Datos!BY10/Datos!CN10),Datos!BY10/Datos!CN10," - ")</f>
        <v>0</v>
      </c>
      <c r="K10" s="230">
        <f t="shared" ref="K10:K12" si="1">IF(ISNUMBER((E10-F10)/C10),(E10-F10)/C10," - ")</f>
        <v>2.5000000000000001E-2</v>
      </c>
      <c r="L10" s="1025">
        <f>IF(ISNUMBER(NºAsuntos!I10/NºAsuntos!G10),(NºAsuntos!I10/NºAsuntos!G10)*11," - ")</f>
        <v>93.958333333333329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28.279652844744454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200</v>
      </c>
      <c r="D13" s="1049">
        <f>SUBTOTAL(9,D9:D12)</f>
        <v>200</v>
      </c>
      <c r="E13" s="1050">
        <f>SUBTOTAL(9,E9:E12)</f>
        <v>29</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7</v>
      </c>
      <c r="B16" s="502" t="str">
        <f>Datos!A16</f>
        <v xml:space="preserve">Jdos. 1ª Instª. e Instr.                        </v>
      </c>
      <c r="C16" s="225">
        <f t="shared" si="2"/>
        <v>2236</v>
      </c>
      <c r="D16" s="225">
        <f>IF(ISNUMBER(IF(D_I="SI",Datos!I16,Datos!I16+Datos!AC16)),IF(D_I="SI",Datos!I16,Datos!I16+Datos!AC16)," - ")</f>
        <v>2225</v>
      </c>
      <c r="E16" s="226">
        <f>IF(ISNUMBER(IF(D_I="SI",Datos!J16,Datos!J16+Datos!AD16)),IF(D_I="SI",Datos!J16,Datos!J16+Datos!AD16)," - ")</f>
        <v>1547</v>
      </c>
      <c r="F16" s="226">
        <f>IF(ISNUMBER(IF(D_I="SI",Datos!K16,Datos!K16+Datos!AE16)),IF(D_I="SI",Datos!K16,Datos!K16+Datos!AE16)," - ")</f>
        <v>1761</v>
      </c>
      <c r="G16" s="1034" t="str">
        <f>IF(Datos!E16&lt;&gt;"",Datos!E16,Datos!D16)</f>
        <v>04</v>
      </c>
      <c r="H16" s="227">
        <f>IF(ISNUMBER(IF(D_I="SI",Datos!L16,Datos!L16+Datos!AF16)),IF(D_I="SI",Datos!L16,Datos!L16+Datos!AF16)," - ")</f>
        <v>2022</v>
      </c>
      <c r="I16" s="1044" t="str">
        <f>IF(ISNUMBER(Datos!AS16/Datos!BM16),Datos!AS16/Datos!BM16," - ")</f>
        <v xml:space="preserve"> - </v>
      </c>
      <c r="J16" s="1045">
        <f>IF(ISNUMBER(Datos!BY16/Datos!CN16),Datos!BY16/Datos!CN16," - ")</f>
        <v>0</v>
      </c>
      <c r="K16" s="230">
        <f t="shared" si="3"/>
        <v>-9.5706618962432918E-2</v>
      </c>
      <c r="L16" s="1025">
        <f>IF(ISNUMBER(NºAsuntos!I16/NºAsuntos!G16),(NºAsuntos!I16/NºAsuntos!G16)*11," - ")</f>
        <v>12.630323679727427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177</v>
      </c>
      <c r="D17" s="225">
        <f>IF(ISNUMBER(IF(D_I="SI",Datos!I17,Datos!I17+Datos!AC17)),IF(D_I="SI",Datos!I17,Datos!I17+Datos!AC17)," - ")</f>
        <v>177</v>
      </c>
      <c r="E17" s="226">
        <f>IF(ISNUMBER(IF(D_I="SI",Datos!J17,Datos!J17+Datos!AD17)),IF(D_I="SI",Datos!J17,Datos!J17+Datos!AD17)," - ")</f>
        <v>228</v>
      </c>
      <c r="F17" s="226">
        <f>IF(ISNUMBER(IF(D_I="SI",Datos!K17,Datos!K17+Datos!AE17)),IF(D_I="SI",Datos!K17,Datos!K17+Datos!AE17)," - ")</f>
        <v>169</v>
      </c>
      <c r="G17" s="1034" t="str">
        <f>IF(Datos!E17&lt;&gt;"",Datos!E17,Datos!D17)</f>
        <v>37</v>
      </c>
      <c r="H17" s="227">
        <f>IF(ISNUMBER(IF(D_I="SI",Datos!L17,Datos!L17+Datos!AF17)),IF(D_I="SI",Datos!L17,Datos!L17+Datos!AF17)," - ")</f>
        <v>236</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15.360946745562131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2413</v>
      </c>
      <c r="D18" s="1049">
        <f>SUBTOTAL(9,D15:D17)</f>
        <v>2402</v>
      </c>
      <c r="E18" s="1050">
        <f>SUBTOTAL(9,E15:E17)</f>
        <v>1775</v>
      </c>
      <c r="F18" s="1050">
        <f>SUBTOTAL(9,F15:F17)</f>
        <v>1930</v>
      </c>
      <c r="G18" s="1052" t="str">
        <f ca="1">INDIRECT(CONCATENATE("G",ROW()-1))</f>
        <v>37</v>
      </c>
      <c r="H18" s="1053">
        <f ca="1">SUMIF(G$14:G17,G18,H$14:H17)</f>
        <v>236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2613</v>
      </c>
      <c r="D19" s="1071">
        <f>SUBTOTAL(9,D9:D18)</f>
        <v>2602</v>
      </c>
      <c r="E19" s="1072">
        <f>SUBTOTAL(9,E9:E18)</f>
        <v>1804</v>
      </c>
      <c r="F19" s="1072">
        <f>SUBTOTAL(9,F9:F18)</f>
        <v>1954</v>
      </c>
      <c r="G19" s="1073"/>
      <c r="H19" s="1074">
        <f ca="1">SUMIF(B9:B18,"TOTAL",H9:H18)</f>
        <v>236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i8HPKgN3eKaKoSdj0mxotycf4uH8ezQkv7LFwr/bmUhzxVZSWB+bd+QO4zlpDUW2MXGG0Wr2GUA0OOWq9z4gTg==" saltValue="6ARLH0UH1WDJLJgWeTnn8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0uBRXw3yrnrbHCRGfbSC8t1yegzBQXJLEDm1WZ8LZUk8LK3m6cxr+diijP1yV9ywsdBjPobDApmDvQhv022Kw==" saltValue="/1ei3gkp07mQX4v8edFd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200</v>
      </c>
      <c r="J10" s="181">
        <v>29</v>
      </c>
      <c r="K10" s="181">
        <v>24</v>
      </c>
      <c r="L10" s="181">
        <v>205</v>
      </c>
      <c r="M10" s="181">
        <v>14</v>
      </c>
      <c r="N10" s="181">
        <v>10</v>
      </c>
      <c r="O10" s="181">
        <v>0</v>
      </c>
      <c r="P10" s="181">
        <v>1</v>
      </c>
      <c r="Q10" s="181">
        <v>2</v>
      </c>
      <c r="R10" s="181">
        <v>54</v>
      </c>
      <c r="S10" s="181">
        <v>162</v>
      </c>
      <c r="T10" s="181">
        <v>23</v>
      </c>
      <c r="U10" s="181">
        <v>35</v>
      </c>
      <c r="V10" s="181">
        <v>151</v>
      </c>
      <c r="W10" s="181">
        <v>21</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162</v>
      </c>
      <c r="AZ10" s="129">
        <f t="shared" si="0"/>
        <v>23</v>
      </c>
      <c r="BA10" s="129">
        <f t="shared" si="0"/>
        <v>35</v>
      </c>
      <c r="BB10" s="129">
        <f t="shared" si="0"/>
        <v>151</v>
      </c>
      <c r="BC10" s="125">
        <f t="shared" si="0"/>
        <v>21</v>
      </c>
      <c r="BD10" s="126">
        <f>IF(ISNUMBER(BA10/AZ10),BA10/AZ10," - ")</f>
        <v>1.5217391304347827</v>
      </c>
      <c r="BE10" s="127">
        <f>IF(ISNUMBER(BB10/BA10),BB10/BA10, " - ")</f>
        <v>4.3142857142857141</v>
      </c>
      <c r="BF10" s="127">
        <f>IF(ISNUMBER(BC10/BA10),BC10/BA10, " - ")</f>
        <v>0.6</v>
      </c>
      <c r="BG10" s="196">
        <f>IF(ISNUMBER((AY10+AZ10)/BA10),(AY10+AZ10)/BA10," - ")</f>
        <v>5.2857142857142856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5260</v>
      </c>
      <c r="J12" s="183">
        <v>1985</v>
      </c>
      <c r="K12" s="183">
        <v>2008</v>
      </c>
      <c r="L12" s="183">
        <v>5238</v>
      </c>
      <c r="M12" s="183">
        <v>438</v>
      </c>
      <c r="N12" s="183">
        <v>824</v>
      </c>
      <c r="O12" s="181">
        <v>680</v>
      </c>
      <c r="P12" s="183">
        <v>421</v>
      </c>
      <c r="Q12" s="183">
        <v>182</v>
      </c>
      <c r="R12" s="183">
        <v>7644</v>
      </c>
      <c r="S12" s="183">
        <v>4327</v>
      </c>
      <c r="T12" s="183">
        <v>1324</v>
      </c>
      <c r="U12" s="183">
        <v>1433</v>
      </c>
      <c r="V12" s="183">
        <v>4215</v>
      </c>
      <c r="W12" s="183">
        <v>293</v>
      </c>
      <c r="X12" s="189">
        <v>560</v>
      </c>
      <c r="Y12" s="191">
        <v>105</v>
      </c>
      <c r="Z12" s="181">
        <v>55</v>
      </c>
      <c r="AA12" s="181">
        <v>66</v>
      </c>
      <c r="AB12" s="181">
        <v>94</v>
      </c>
      <c r="AC12" s="183">
        <v>0</v>
      </c>
      <c r="AD12" s="183">
        <v>0</v>
      </c>
      <c r="AE12" s="183">
        <v>0</v>
      </c>
      <c r="AF12" s="189">
        <v>0</v>
      </c>
      <c r="AG12" s="202">
        <v>142</v>
      </c>
      <c r="AH12" s="183">
        <v>53</v>
      </c>
      <c r="AI12" s="183">
        <v>70</v>
      </c>
      <c r="AJ12" s="203">
        <v>125</v>
      </c>
      <c r="AK12" s="182">
        <v>0</v>
      </c>
      <c r="AL12" s="183">
        <v>0</v>
      </c>
      <c r="AM12" s="183">
        <v>0</v>
      </c>
      <c r="AN12" s="189">
        <v>0</v>
      </c>
      <c r="AO12" s="259">
        <v>7</v>
      </c>
      <c r="AP12" s="155">
        <v>7</v>
      </c>
      <c r="AQ12" s="155">
        <v>7</v>
      </c>
      <c r="AR12" s="154">
        <v>7</v>
      </c>
      <c r="AS12" s="340" t="s">
        <v>802</v>
      </c>
      <c r="AT12" s="203"/>
      <c r="AU12" s="202"/>
      <c r="AV12" s="203"/>
      <c r="AW12" s="202"/>
      <c r="AX12" s="203"/>
      <c r="AY12" s="126">
        <f t="shared" si="1"/>
        <v>4469</v>
      </c>
      <c r="AZ12" s="127">
        <f t="shared" si="1"/>
        <v>1377</v>
      </c>
      <c r="BA12" s="127">
        <f t="shared" si="1"/>
        <v>1503</v>
      </c>
      <c r="BB12" s="127">
        <f t="shared" si="1"/>
        <v>4340</v>
      </c>
      <c r="BC12" s="125">
        <f>IF(ISNUMBER(X12),X12," - ")</f>
        <v>560</v>
      </c>
      <c r="BD12" s="126">
        <f t="shared" si="2"/>
        <v>1.0915032679738561</v>
      </c>
      <c r="BE12" s="127">
        <f t="shared" si="3"/>
        <v>2.8875582168995342</v>
      </c>
      <c r="BF12" s="127">
        <f t="shared" si="4"/>
        <v>0.37258815701929476</v>
      </c>
      <c r="BG12" s="196">
        <f t="shared" si="5"/>
        <v>3.8895542248835664</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5460</v>
      </c>
      <c r="J13" s="184">
        <f t="shared" si="6"/>
        <v>2014</v>
      </c>
      <c r="K13" s="184">
        <f t="shared" si="6"/>
        <v>2032</v>
      </c>
      <c r="L13" s="184">
        <f t="shared" si="6"/>
        <v>5443</v>
      </c>
      <c r="M13" s="184">
        <f t="shared" si="6"/>
        <v>452</v>
      </c>
      <c r="N13" s="184">
        <f t="shared" si="6"/>
        <v>834</v>
      </c>
      <c r="O13" s="184">
        <f t="shared" si="6"/>
        <v>680</v>
      </c>
      <c r="P13" s="184">
        <f t="shared" si="6"/>
        <v>422</v>
      </c>
      <c r="Q13" s="184">
        <f t="shared" si="6"/>
        <v>184</v>
      </c>
      <c r="R13" s="184">
        <f t="shared" si="6"/>
        <v>7698</v>
      </c>
      <c r="S13" s="184">
        <f t="shared" si="6"/>
        <v>4489</v>
      </c>
      <c r="T13" s="184">
        <f t="shared" si="6"/>
        <v>1347</v>
      </c>
      <c r="U13" s="184">
        <f t="shared" si="6"/>
        <v>1468</v>
      </c>
      <c r="V13" s="184">
        <f t="shared" si="6"/>
        <v>4366</v>
      </c>
      <c r="W13" s="184">
        <f t="shared" si="6"/>
        <v>314</v>
      </c>
      <c r="X13" s="184">
        <f t="shared" si="6"/>
        <v>571</v>
      </c>
      <c r="Y13" s="184">
        <f t="shared" si="6"/>
        <v>105</v>
      </c>
      <c r="Z13" s="184">
        <f t="shared" si="6"/>
        <v>55</v>
      </c>
      <c r="AA13" s="184">
        <f t="shared" si="6"/>
        <v>66</v>
      </c>
      <c r="AB13" s="184">
        <f t="shared" si="6"/>
        <v>94</v>
      </c>
      <c r="AC13" s="184">
        <f t="shared" si="6"/>
        <v>0</v>
      </c>
      <c r="AD13" s="184">
        <f t="shared" si="6"/>
        <v>0</v>
      </c>
      <c r="AE13" s="184">
        <f t="shared" si="6"/>
        <v>0</v>
      </c>
      <c r="AF13" s="184">
        <f>SUBTOTAL(9,AF9:AF12)</f>
        <v>0</v>
      </c>
      <c r="AG13" s="184">
        <f t="shared" ref="AG13:AT13" si="7">SUBTOTAL(9,AG8:AG12)</f>
        <v>142</v>
      </c>
      <c r="AH13" s="184">
        <f t="shared" si="7"/>
        <v>53</v>
      </c>
      <c r="AI13" s="184">
        <f t="shared" si="7"/>
        <v>70</v>
      </c>
      <c r="AJ13" s="184">
        <f t="shared" si="7"/>
        <v>125</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4631</v>
      </c>
      <c r="AZ13" s="184">
        <f>SUBTOTAL(9,AZ8:AZ12)</f>
        <v>1400</v>
      </c>
      <c r="BA13" s="184">
        <f>SUBTOTAL(9,BA8:BA12)</f>
        <v>1538</v>
      </c>
      <c r="BB13" s="184">
        <f>SUBTOTAL(9,BB8:BB12)</f>
        <v>4491</v>
      </c>
      <c r="BC13" s="184">
        <f>SUBTOTAL(9,BC8:BC12)</f>
        <v>581</v>
      </c>
      <c r="BD13" s="205">
        <f>IF(ISNUMBER(BA13/AZ13),BA13/AZ13," - ")</f>
        <v>1.0985714285714285</v>
      </c>
      <c r="BE13" s="206">
        <f>IF(ISNUMBER(BB13/BA13),BB13/BA13, " - ")</f>
        <v>2.9200260078023406</v>
      </c>
      <c r="BF13" s="206">
        <f>IF(ISNUMBER(BC13/BA13),BC13/BA13, " - ")</f>
        <v>0.37776332899869963</v>
      </c>
      <c r="BG13" s="207">
        <f>IF(ISNUMBER((AY13+AZ13)/BA13),(AY13+AZ13)/BA13," - ")</f>
        <v>3.9213263979193758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2225</v>
      </c>
      <c r="J16" s="183">
        <v>1547</v>
      </c>
      <c r="K16" s="183">
        <v>1761</v>
      </c>
      <c r="L16" s="183">
        <v>2022</v>
      </c>
      <c r="M16" s="183">
        <v>325</v>
      </c>
      <c r="N16" s="183">
        <v>1132</v>
      </c>
      <c r="O16" s="181">
        <v>13</v>
      </c>
      <c r="P16" s="183">
        <v>75</v>
      </c>
      <c r="Q16" s="183">
        <v>51</v>
      </c>
      <c r="R16" s="183">
        <v>226</v>
      </c>
      <c r="S16" s="183">
        <v>1303</v>
      </c>
      <c r="T16" s="183">
        <v>1880</v>
      </c>
      <c r="U16" s="183">
        <v>1678</v>
      </c>
      <c r="V16" s="183">
        <v>1512</v>
      </c>
      <c r="W16" s="183">
        <v>246</v>
      </c>
      <c r="X16" s="189">
        <v>1033</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1303</v>
      </c>
      <c r="AZ16" s="127">
        <f t="shared" si="9"/>
        <v>1880</v>
      </c>
      <c r="BA16" s="127">
        <f t="shared" si="9"/>
        <v>1678</v>
      </c>
      <c r="BB16" s="127">
        <f t="shared" si="9"/>
        <v>1512</v>
      </c>
      <c r="BC16" s="125">
        <f>IF(ISNUMBER(W16),W16," - ")</f>
        <v>246</v>
      </c>
      <c r="BD16" s="126">
        <f t="shared" ref="BD16" si="11">IF(ISNUMBER(BA16/AZ16),BA16/AZ16," - ")</f>
        <v>0.89255319148936174</v>
      </c>
      <c r="BE16" s="127">
        <f t="shared" ref="BE16" si="12">IF(ISNUMBER(BB16/BA16),BB16/BA16, " - ")</f>
        <v>0.901072705601907</v>
      </c>
      <c r="BF16" s="127">
        <f t="shared" ref="BF16" si="13">IF(ISNUMBER(BC16/BA16),BC16/BA16, " - ")</f>
        <v>0.1466030989272944</v>
      </c>
      <c r="BG16" s="196">
        <f t="shared" si="10"/>
        <v>1.8969010727056019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177</v>
      </c>
      <c r="J17" s="183">
        <v>228</v>
      </c>
      <c r="K17" s="183">
        <v>169</v>
      </c>
      <c r="L17" s="183">
        <v>236</v>
      </c>
      <c r="M17" s="183">
        <v>36</v>
      </c>
      <c r="N17" s="183">
        <v>69</v>
      </c>
      <c r="O17" s="183">
        <v>0</v>
      </c>
      <c r="P17" s="183">
        <v>0</v>
      </c>
      <c r="Q17" s="183">
        <v>2</v>
      </c>
      <c r="R17" s="183">
        <v>4</v>
      </c>
      <c r="S17" s="183">
        <v>158</v>
      </c>
      <c r="T17" s="183">
        <v>212</v>
      </c>
      <c r="U17" s="183">
        <v>183</v>
      </c>
      <c r="V17" s="183">
        <v>187</v>
      </c>
      <c r="W17" s="183">
        <v>37</v>
      </c>
      <c r="X17" s="189">
        <v>120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158</v>
      </c>
      <c r="AZ17" s="129">
        <f t="shared" si="14"/>
        <v>212</v>
      </c>
      <c r="BA17" s="129">
        <f t="shared" si="14"/>
        <v>183</v>
      </c>
      <c r="BB17" s="129">
        <f t="shared" si="14"/>
        <v>187</v>
      </c>
      <c r="BC17" s="125">
        <f>IF(ISNUMBER(W17),W17," - ")</f>
        <v>37</v>
      </c>
      <c r="BD17" s="126">
        <f>IF(ISNUMBER(BA17/AZ17),BA17/AZ17," - ")</f>
        <v>0.8632075471698113</v>
      </c>
      <c r="BE17" s="127">
        <f>IF(ISNUMBER(BB17/BA17),BB17/BA17, " - ")</f>
        <v>1.0218579234972678</v>
      </c>
      <c r="BF17" s="127">
        <f>IF(ISNUMBER(BC17/BA17),BC17/BA17, " - ")</f>
        <v>0.20218579234972678</v>
      </c>
      <c r="BG17" s="196">
        <f>IF(ISNUMBER((AY17+AZ17)/BA17),(AY17+AZ17)/BA17," - ")</f>
        <v>2.0218579234972678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2402</v>
      </c>
      <c r="J18" s="184">
        <f t="shared" si="15"/>
        <v>1775</v>
      </c>
      <c r="K18" s="184">
        <f t="shared" si="15"/>
        <v>1930</v>
      </c>
      <c r="L18" s="184">
        <f t="shared" si="15"/>
        <v>2258</v>
      </c>
      <c r="M18" s="184">
        <f t="shared" si="15"/>
        <v>361</v>
      </c>
      <c r="N18" s="184">
        <f t="shared" si="15"/>
        <v>1201</v>
      </c>
      <c r="O18" s="184">
        <f t="shared" si="15"/>
        <v>13</v>
      </c>
      <c r="P18" s="184">
        <f t="shared" si="15"/>
        <v>75</v>
      </c>
      <c r="Q18" s="184">
        <f t="shared" si="15"/>
        <v>53</v>
      </c>
      <c r="R18" s="184">
        <f t="shared" si="15"/>
        <v>230</v>
      </c>
      <c r="S18" s="184">
        <f t="shared" si="15"/>
        <v>1461</v>
      </c>
      <c r="T18" s="184">
        <f t="shared" si="15"/>
        <v>2092</v>
      </c>
      <c r="U18" s="184">
        <f t="shared" si="15"/>
        <v>1861</v>
      </c>
      <c r="V18" s="184">
        <f t="shared" si="15"/>
        <v>1699</v>
      </c>
      <c r="W18" s="184">
        <f t="shared" si="15"/>
        <v>283</v>
      </c>
      <c r="X18" s="184">
        <f t="shared" si="15"/>
        <v>1153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1461</v>
      </c>
      <c r="AZ18" s="184">
        <f>SUBTOTAL(9,AZ14:AZ17)</f>
        <v>2092</v>
      </c>
      <c r="BA18" s="184">
        <f>SUBTOTAL(9,BA14:BA17)</f>
        <v>1861</v>
      </c>
      <c r="BB18" s="184">
        <f>SUBTOTAL(9,BB14:BB17)</f>
        <v>1699</v>
      </c>
      <c r="BC18" s="184">
        <f>SUBTOTAL(9,BC14:BC17)</f>
        <v>283</v>
      </c>
      <c r="BD18" s="205">
        <f>IF(ISNUMBER(BA18/AZ18),BA18/AZ18," - ")</f>
        <v>0.88957934990439769</v>
      </c>
      <c r="BE18" s="206">
        <f>IF(ISNUMBER(BB18/BA18),BB18/BA18, " - ")</f>
        <v>0.91295002686727567</v>
      </c>
      <c r="BF18" s="206">
        <f>IF(ISNUMBER(BC18/BA18),BC18/BA18, " - ")</f>
        <v>0.15206878022568512</v>
      </c>
      <c r="BG18" s="207">
        <f>IF(ISNUMBER((AY18+AZ18)/BA18),(AY18+AZ18)/BA18," - ")</f>
        <v>1.9091886082751208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7862</v>
      </c>
      <c r="J19" s="134">
        <f t="shared" si="18"/>
        <v>3789</v>
      </c>
      <c r="K19" s="134">
        <f t="shared" si="18"/>
        <v>3962</v>
      </c>
      <c r="L19" s="134">
        <f t="shared" si="18"/>
        <v>7701</v>
      </c>
      <c r="M19" s="134">
        <f t="shared" si="18"/>
        <v>813</v>
      </c>
      <c r="N19" s="134">
        <f t="shared" si="18"/>
        <v>2035</v>
      </c>
      <c r="O19" s="134">
        <f t="shared" si="18"/>
        <v>693</v>
      </c>
      <c r="P19" s="134">
        <f t="shared" si="18"/>
        <v>497</v>
      </c>
      <c r="Q19" s="134">
        <f t="shared" si="18"/>
        <v>237</v>
      </c>
      <c r="R19" s="134">
        <f t="shared" si="18"/>
        <v>7928</v>
      </c>
      <c r="S19" s="134">
        <f t="shared" si="18"/>
        <v>5950</v>
      </c>
      <c r="T19" s="134">
        <f t="shared" si="18"/>
        <v>3439</v>
      </c>
      <c r="U19" s="134">
        <f t="shared" si="18"/>
        <v>3329</v>
      </c>
      <c r="V19" s="134">
        <f t="shared" si="18"/>
        <v>6065</v>
      </c>
      <c r="W19" s="134">
        <f t="shared" si="18"/>
        <v>597</v>
      </c>
      <c r="X19" s="134">
        <f t="shared" si="18"/>
        <v>1724</v>
      </c>
      <c r="Y19" s="134">
        <f t="shared" si="18"/>
        <v>105</v>
      </c>
      <c r="Z19" s="134">
        <f t="shared" si="18"/>
        <v>55</v>
      </c>
      <c r="AA19" s="134">
        <f t="shared" si="18"/>
        <v>66</v>
      </c>
      <c r="AB19" s="134">
        <f t="shared" si="18"/>
        <v>94</v>
      </c>
      <c r="AC19" s="134">
        <f t="shared" si="18"/>
        <v>0</v>
      </c>
      <c r="AD19" s="134">
        <f t="shared" si="18"/>
        <v>1</v>
      </c>
      <c r="AE19" s="134">
        <f t="shared" si="18"/>
        <v>1</v>
      </c>
      <c r="AF19" s="134">
        <f t="shared" si="18"/>
        <v>0</v>
      </c>
      <c r="AG19" s="134">
        <f t="shared" si="18"/>
        <v>142</v>
      </c>
      <c r="AH19" s="134">
        <f t="shared" si="18"/>
        <v>53</v>
      </c>
      <c r="AI19" s="134">
        <f t="shared" si="18"/>
        <v>70</v>
      </c>
      <c r="AJ19" s="134">
        <f t="shared" si="18"/>
        <v>125</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6092</v>
      </c>
      <c r="AZ19" s="134">
        <f>SUBTOTAL(9,AZ9:AZ18)</f>
        <v>3492</v>
      </c>
      <c r="BA19" s="134">
        <f>SUBTOTAL(9,BA9:BA18)</f>
        <v>3399</v>
      </c>
      <c r="BB19" s="134">
        <f>SUBTOTAL(9,BB9:BB18)</f>
        <v>6190</v>
      </c>
      <c r="BC19" s="135">
        <f>SUBTOTAL(9,BC9:BC18)</f>
        <v>864</v>
      </c>
      <c r="BD19" s="213">
        <f>IF(ISNUMBER(BA19/AZ19),BA19/AZ19," - ")</f>
        <v>0.9733676975945017</v>
      </c>
      <c r="BE19" s="210">
        <f>IF(ISNUMBER(BB19/BA19),BB19/BA19, " - ")</f>
        <v>1.8211238599588113</v>
      </c>
      <c r="BF19" s="210">
        <f>IF(ISNUMBER(BC19/BA19),BC19/BA19, " - ")</f>
        <v>0.25419240953221534</v>
      </c>
      <c r="BG19" s="135">
        <f>IF(ISNUMBER((AY19+AZ19)/BA19),(AY19+AZ19)/BA19," - ")</f>
        <v>2.8196528390703146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1SS+76vAVUNa1VlBIhAHmaRNOnAuDQpk/Y5YwIT55H+1Dm9tjLZK/PNxqUw9sSDcV492Kt3V0zJ/eHm0OZn90Q==" saltValue="rV+yDAG9CzQDnYISCqozU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9xZ1QU0kzFc3ZTSC+oZrHGKxUzMHwIOxidbsKSoGZ23yhpOAPGyjiq35GfaQsaJv2U7iZdt2yUWqmnS0ZTfYxw==" saltValue="/ZY5RUyerYFS6nYLNOImB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ALMERIA  Resumenes por Partidos Judiciales  ROQUETAS DE MAR</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200</v>
      </c>
      <c r="G10" s="333">
        <f>IF(ISNUMBER(Datos!I10),Datos!I10," - ")</f>
        <v>200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2</v>
      </c>
      <c r="AD10" s="334"/>
      <c r="AE10" s="484"/>
      <c r="AF10" s="332">
        <f>IF(ISNUMBER(Datos!L10),Datos!L10,"-")</f>
        <v>205</v>
      </c>
      <c r="AG10" s="334"/>
      <c r="AH10" s="334"/>
      <c r="AI10" s="334"/>
      <c r="AJ10" s="334"/>
      <c r="AK10" s="334"/>
      <c r="AL10" s="479"/>
      <c r="AM10" s="335">
        <f>IF(ISNUMBER(Datos!R10),Datos!R10," - ")</f>
        <v>54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10</v>
      </c>
      <c r="BE10" s="229" t="str">
        <f>IF(ISNUMBER(Datos!BW10),Datos!BW10," - ")</f>
        <v xml:space="preserve"> - </v>
      </c>
      <c r="BF10" s="228" t="str">
        <f>IF(ISNUMBER(Datos!BX10),Datos!BX10," - ")</f>
        <v xml:space="preserve"> - </v>
      </c>
      <c r="BG10" s="243">
        <f>IF(ISNUMBER(Datos!K10/Datos!J10),Datos!K10/Datos!J10," - ")</f>
        <v>0.82758620689655171</v>
      </c>
      <c r="BH10" s="260">
        <f>IF(ISNUMBER(((Datos!L10/Datos!K10)*11)/factor_trimestre),((Datos!L10/Datos!K10)*11)/factor_trimestre," - ")</f>
        <v>25.625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-1.8181818181818181E-2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55</v>
      </c>
      <c r="O12" s="334"/>
      <c r="P12" s="334"/>
      <c r="Q12" s="226">
        <f>IF(ISNUMBER(Datos!P12),Datos!P12,0)</f>
        <v>421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94</v>
      </c>
      <c r="AI12" s="334" t="str">
        <f>IF(ISNUMBER(Datos!CD12),Datos!CD12,"-")</f>
        <v>-</v>
      </c>
      <c r="AJ12" s="334" t="str">
        <f>IF(ISNUMBER(Datos!EN12),Datos!EN12," - ")</f>
        <v xml:space="preserve"> - </v>
      </c>
      <c r="AK12" s="334"/>
      <c r="AL12" s="479"/>
      <c r="AM12" s="335">
        <f>IF(ISNUMBER(Datos!R12),Datos!R12," - ")</f>
        <v>7644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438</v>
      </c>
      <c r="BD12" s="229">
        <f>IF(ISNUMBER(Datos!N12),Datos!N12," - ")</f>
        <v>824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1.0166666666666666</v>
      </c>
      <c r="BH12" s="260">
        <f>IF(ISNUMBER(((IF(J_V="SI",Datos!L12/Datos!K12,(Datos!L12+Datos!AB12)/(Datos!K12+Datos!AA12)))*11)/factor_trimestre),((IF(J_V="SI",Datos!L12/Datos!K12,(Datos!L12+Datos!AB12)/(Datos!K12+Datos!AA12)))*11)/factor_trimestre," - ")</f>
        <v>7.7126325940212155</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3.2275489534098582E-2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7</v>
      </c>
      <c r="F13" s="898">
        <f t="shared" si="0"/>
        <v>200</v>
      </c>
      <c r="G13" s="898">
        <f t="shared" si="0"/>
        <v>200</v>
      </c>
      <c r="H13" s="899">
        <f t="shared" si="0"/>
        <v>0</v>
      </c>
      <c r="I13" s="898">
        <f t="shared" si="0"/>
        <v>0</v>
      </c>
      <c r="J13" s="867">
        <f t="shared" si="0"/>
        <v>0</v>
      </c>
      <c r="K13" s="867">
        <f t="shared" si="0"/>
        <v>0</v>
      </c>
      <c r="L13" s="899">
        <f t="shared" si="0"/>
        <v>0</v>
      </c>
      <c r="M13" s="899">
        <f t="shared" si="0"/>
        <v>0</v>
      </c>
      <c r="N13" s="899">
        <f t="shared" si="0"/>
        <v>55</v>
      </c>
      <c r="O13" s="900">
        <f t="shared" si="0"/>
        <v>0</v>
      </c>
      <c r="P13" s="900">
        <f t="shared" si="0"/>
        <v>0</v>
      </c>
      <c r="Q13" s="899">
        <f t="shared" si="0"/>
        <v>422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184</v>
      </c>
      <c r="AD13" s="899">
        <f t="shared" si="1"/>
        <v>0</v>
      </c>
      <c r="AE13" s="899">
        <f t="shared" si="1"/>
        <v>0</v>
      </c>
      <c r="AF13" s="899">
        <f t="shared" si="1"/>
        <v>205</v>
      </c>
      <c r="AG13" s="899">
        <f t="shared" si="1"/>
        <v>0</v>
      </c>
      <c r="AH13" s="899">
        <f t="shared" si="1"/>
        <v>94</v>
      </c>
      <c r="AI13" s="899">
        <f t="shared" si="1"/>
        <v>0</v>
      </c>
      <c r="AJ13" s="899">
        <f t="shared" si="1"/>
        <v>0</v>
      </c>
      <c r="AK13" s="899">
        <f t="shared" si="1"/>
        <v>0</v>
      </c>
      <c r="AL13" s="899">
        <f t="shared" si="1"/>
        <v>0</v>
      </c>
      <c r="AM13" s="899">
        <f t="shared" si="1"/>
        <v>7698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452</v>
      </c>
      <c r="BD13" s="899">
        <f t="shared" si="1"/>
        <v>834</v>
      </c>
      <c r="BE13" s="899">
        <f t="shared" si="1"/>
        <v>0</v>
      </c>
      <c r="BF13" s="899">
        <f t="shared" si="1"/>
        <v>0</v>
      </c>
      <c r="BG13" s="899">
        <f>IF(ISNUMBER(Datos!K13/Datos!J13),Datos!K13/Datos!J13," - ")</f>
        <v>1.0089374379344589</v>
      </c>
      <c r="BH13" s="903">
        <f>IF(ISNUMBER(((Datos!L13/Datos!K13)*11)/factor_trimestre),((Datos!L13/Datos!K13)*11)/factor_trimestre," - ")</f>
        <v>8.0359251968503926</v>
      </c>
      <c r="BI13" s="899">
        <f>IF(ISNUMBER('Resol  Asuntos'!D13/NºAsuntos!G13),'Resol  Asuntos'!D13/NºAsuntos!G13," - ")</f>
        <v>0.21544327931363202</v>
      </c>
      <c r="BJ13" s="899" t="str">
        <f>IF(ISNUMBER(Datos!CI13/Datos!CJ13),Datos!CI13/Datos!CJ13," - ")</f>
        <v xml:space="preserve"> - </v>
      </c>
      <c r="BK13" s="899">
        <f>SUBTOTAL(9,BK8:BK12)</f>
        <v>0</v>
      </c>
      <c r="BL13" s="899">
        <f>IF(ISNUMBER((I13-AB13+L13)/(F13)),(I13-AB13+L13)/(F13)," - ")</f>
        <v>-0.12</v>
      </c>
      <c r="BM13" s="904">
        <f>SUBTOTAL(9,BM9:BM12)</f>
        <v>1.4093671352280401E-2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2236</v>
      </c>
      <c r="G16" s="598">
        <f>IF(ISNUMBER(IF(D_I="SI",Datos!I16,Datos!I16+Datos!AC16)),IF(D_I="SI",Datos!I16,Datos!I16+Datos!AC16)," - ")</f>
        <v>2225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1761</v>
      </c>
      <c r="AC16" s="226">
        <f>IF(ISNUMBER(Datos!Q16),Datos!Q16," - ")</f>
        <v>51</v>
      </c>
      <c r="AD16" s="334"/>
      <c r="AE16" s="484"/>
      <c r="AF16" s="596">
        <f>IF(ISNUMBER(IF(D_I="SI",Datos!L16,Datos!L16+Datos!AF16)),IF(D_I="SI",Datos!L16,Datos!L16+Datos!AF16)," - ")</f>
        <v>2022</v>
      </c>
      <c r="AG16" s="334"/>
      <c r="AH16" s="334"/>
      <c r="AI16" s="334"/>
      <c r="AJ16" s="334"/>
      <c r="AK16" s="334"/>
      <c r="AL16" s="479"/>
      <c r="AM16" s="335">
        <f>IF(ISNUMBER(Datos!R16),Datos!R16," - ")</f>
        <v>226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325</v>
      </c>
      <c r="BD16" s="229">
        <f>IF(ISNUMBER(Datos!N16),Datos!N16," - ")</f>
        <v>1132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1.1383322559793148</v>
      </c>
      <c r="BH16" s="260">
        <f>IF(ISNUMBER(((IF(D_I="SI",Datos!L16/Datos!K16,(Datos!L16+Datos!AF16)/(Datos!K16+Datos!AE16)))*11)/factor_trimestre),((IF(D_I="SI",Datos!L16/Datos!K16,(Datos!L16+Datos!AF16)/(Datos!K16+Datos!AE16)))*11)/factor_trimestre," - ")</f>
        <v>3.4446337308347528</v>
      </c>
      <c r="BI16" s="243">
        <f>IF(ISNUMBER('Resol  Asuntos'!D16/NºAsuntos!G16),'Resol  Asuntos'!D16/NºAsuntos!G16," - ")</f>
        <v>0.1845542305508234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169</v>
      </c>
      <c r="AC17" s="226">
        <f>IF(ISNUMBER(Datos!Q17),Datos!Q17," - ")</f>
        <v>2</v>
      </c>
      <c r="AD17" s="334"/>
      <c r="AE17" s="484"/>
      <c r="AF17" s="332">
        <f>IF(ISNUMBER(Datos!L17),Datos!L17,"-")</f>
        <v>236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69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0.74122807017543857</v>
      </c>
      <c r="BH17" s="260">
        <f>IF(ISNUMBER(((IF(D_I="SI",Datos!L17/Datos!K17,(Datos!L17+Datos!AF17)/(Datos!K17+Datos!AE17)))*11)/factor_trimestre),((IF(D_I="SI",Datos!L17/Datos!K17,(Datos!L17+Datos!AF17)/(Datos!K17+Datos!AE17)))*11)/factor_trimestre," - ")</f>
        <v>4.1893491124260356</v>
      </c>
      <c r="BI17" s="243">
        <f>IF(ISNUMBER('Resol  Asuntos'!D17/NºAsuntos!G17),'Resol  Asuntos'!D17/NºAsuntos!G17," - ")</f>
        <v>0.21301775147928995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7</v>
      </c>
      <c r="F18" s="898">
        <f>SUBTOTAL(9,F15:F17)</f>
        <v>2236</v>
      </c>
      <c r="G18" s="898">
        <f>SUBTOTAL(9,G15:G17)</f>
        <v>2402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1930</v>
      </c>
      <c r="AC18" s="899">
        <f t="shared" si="4"/>
        <v>53</v>
      </c>
      <c r="AD18" s="899">
        <f t="shared" si="4"/>
        <v>0</v>
      </c>
      <c r="AE18" s="899">
        <f t="shared" si="4"/>
        <v>0</v>
      </c>
      <c r="AF18" s="899">
        <f t="shared" si="4"/>
        <v>2258</v>
      </c>
      <c r="AG18" s="899">
        <f t="shared" si="4"/>
        <v>0</v>
      </c>
      <c r="AH18" s="899">
        <f t="shared" si="4"/>
        <v>0</v>
      </c>
      <c r="AI18" s="899">
        <f t="shared" si="4"/>
        <v>0</v>
      </c>
      <c r="AJ18" s="899">
        <f t="shared" si="4"/>
        <v>0</v>
      </c>
      <c r="AK18" s="899">
        <f t="shared" si="4"/>
        <v>0</v>
      </c>
      <c r="AL18" s="899">
        <f t="shared" si="4"/>
        <v>0</v>
      </c>
      <c r="AM18" s="899">
        <f t="shared" si="4"/>
        <v>230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361</v>
      </c>
      <c r="BD18" s="899">
        <f t="shared" si="4"/>
        <v>1201</v>
      </c>
      <c r="BE18" s="899">
        <f t="shared" si="4"/>
        <v>0</v>
      </c>
      <c r="BF18" s="899">
        <f t="shared" si="4"/>
        <v>0</v>
      </c>
      <c r="BG18" s="899">
        <f>IF(ISNUMBER(Datos!K18/Datos!J18),Datos!K18/Datos!J18," - ")</f>
        <v>1.0873239436619719</v>
      </c>
      <c r="BH18" s="903">
        <f>IF(ISNUMBER(((Datos!L18/Datos!K18)*11)/factor_trimestre),((Datos!L18/Datos!K18)*11)/factor_trimestre," - ")</f>
        <v>3.5098445595854919</v>
      </c>
      <c r="BI18" s="899">
        <f>SUBTOTAL(9,BI15:BI17)</f>
        <v>0.39757198203011335</v>
      </c>
      <c r="BJ18" s="899">
        <f>SUBTOTAL(9,BJ15:BJ17)</f>
        <v>0</v>
      </c>
      <c r="BK18" s="899">
        <f>SUBTOTAL(9,BK15:BK17)</f>
        <v>0</v>
      </c>
      <c r="BL18" s="899">
        <f>IF(ISNUMBER((I18-AB18+L18)/(F18)),(I18-AB18+L18)/(F18)," - ")</f>
        <v>-0.86314847942754924</v>
      </c>
      <c r="BM18" s="905">
        <f>IF(ISNUMBER((Datos!P18-Datos!Q18)/(Datos!R18-Datos!P18+Datos!Q18)),(Datos!P18-Datos!Q18)/(Datos!R18-Datos!P18+Datos!Q18)," - ")</f>
        <v>0.10576923076923077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14</v>
      </c>
      <c r="F19" s="820">
        <f t="shared" si="6"/>
        <v>2436</v>
      </c>
      <c r="G19" s="820">
        <f t="shared" si="6"/>
        <v>2602</v>
      </c>
      <c r="H19" s="822">
        <f t="shared" si="6"/>
        <v>0</v>
      </c>
      <c r="I19" s="820">
        <f t="shared" si="6"/>
        <v>0</v>
      </c>
      <c r="J19" s="822">
        <f t="shared" si="6"/>
        <v>0</v>
      </c>
      <c r="K19" s="822">
        <f t="shared" si="6"/>
        <v>0</v>
      </c>
      <c r="L19" s="881">
        <f t="shared" si="6"/>
        <v>0</v>
      </c>
      <c r="M19" s="881">
        <f t="shared" si="6"/>
        <v>0</v>
      </c>
      <c r="N19" s="881">
        <f t="shared" si="6"/>
        <v>55</v>
      </c>
      <c r="O19" s="881">
        <f t="shared" si="6"/>
        <v>0</v>
      </c>
      <c r="P19" s="881">
        <f t="shared" si="6"/>
        <v>0</v>
      </c>
      <c r="Q19" s="822">
        <f t="shared" si="6"/>
        <v>497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1954</v>
      </c>
      <c r="AC19" s="821">
        <f t="shared" si="7"/>
        <v>237</v>
      </c>
      <c r="AD19" s="821">
        <f t="shared" si="7"/>
        <v>0</v>
      </c>
      <c r="AE19" s="821">
        <f t="shared" si="7"/>
        <v>0</v>
      </c>
      <c r="AF19" s="828">
        <f t="shared" si="7"/>
        <v>2463</v>
      </c>
      <c r="AG19" s="828">
        <f t="shared" si="7"/>
        <v>0</v>
      </c>
      <c r="AH19" s="828">
        <f t="shared" si="7"/>
        <v>94</v>
      </c>
      <c r="AI19" s="828">
        <f t="shared" si="7"/>
        <v>0</v>
      </c>
      <c r="AJ19" s="821">
        <f t="shared" si="7"/>
        <v>0</v>
      </c>
      <c r="AK19" s="828">
        <f t="shared" si="7"/>
        <v>0</v>
      </c>
      <c r="AL19" s="828">
        <f t="shared" si="7"/>
        <v>0</v>
      </c>
      <c r="AM19" s="828">
        <f t="shared" si="7"/>
        <v>7928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813</v>
      </c>
      <c r="BD19" s="820">
        <f t="shared" si="7"/>
        <v>2035</v>
      </c>
      <c r="BE19" s="820">
        <f t="shared" si="7"/>
        <v>0</v>
      </c>
      <c r="BF19" s="830">
        <f t="shared" si="7"/>
        <v>0</v>
      </c>
      <c r="BG19" s="915">
        <f>IF(ISNUMBER(Datos!K19/Datos!J19),Datos!K19/Datos!J19," - ")</f>
        <v>1.0456584850884139</v>
      </c>
      <c r="BH19" s="915">
        <f>IF(ISNUMBER(((Datos!L19/Datos!K19)*11)/factor_trimestre),((Datos!L19/Datos!K19)*11)/factor_trimestre," - ")</f>
        <v>5.8311458859162046</v>
      </c>
      <c r="BI19" s="813">
        <f>IF(ISNUMBER(Datos!J19/Datos!I19),Datos!J19/Datos!I19," - ")</f>
        <v>0.48193843805647418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-0.80213464696223313</v>
      </c>
      <c r="BM19" s="889">
        <f>IF(ISNUMBER((Datos!P19-Datos!Q19+R19)/(Datos!R19-Datos!P19+Datos!Q19-R19)),(Datos!P19-Datos!Q19+R19)/(Datos!R19-Datos!P19+Datos!Q19-R19)," - ")</f>
        <v>3.3907146583202923E-2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3.6893239368631092</v>
      </c>
      <c r="F21" s="551">
        <f>IF(ISNUMBER(STDEV(F8:F18)),STDEV(F8:F18),"-")</f>
        <v>1175.4851480700779</v>
      </c>
      <c r="G21" s="552">
        <f>IF(ISNUMBER(STDEV(G8:G18)),STDEV(G8:G18),"-")</f>
        <v>1163.5328529955655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974.83860202599692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196.43828547408981</v>
      </c>
      <c r="BD21" s="551"/>
      <c r="BE21" s="551">
        <f>IF(ISNUMBER(STDEV(BE8:BE18)),STDEV(BE8:BE18),"-")</f>
        <v>0</v>
      </c>
      <c r="BF21" s="556">
        <f>IF(ISNUMBER(STDEV(BF8:BF18)),STDEV(BF8:BF18),"-")</f>
        <v>0</v>
      </c>
      <c r="BG21" s="775">
        <f>IF(ISNUMBER(STDEV(BG8:BG18)),STDEV(BG8:BG18),"-")</f>
        <v>0.15389141719073496</v>
      </c>
      <c r="BH21" s="776">
        <f>IF(ISNUMBER(STDEV(BH8:BH18)),STDEV(BH8:BH18),"-")</f>
        <v>8.5177143106980484</v>
      </c>
      <c r="BI21" s="249">
        <f>IF(ISNUMBER(STDEV(BI8:BI18)),STDEV(BI8:BI18),"-")</f>
        <v>9.7629349819900957E-2</v>
      </c>
      <c r="BJ21" s="230" t="str">
        <f>IF(ISNUMBER(BL21/BM21),BL21/BM21," - ")</f>
        <v xml:space="preserve"> - </v>
      </c>
      <c r="BK21" s="575"/>
      <c r="BL21" s="559">
        <f>IF(ISNUMBER(STDEV(BL8:BL18)),STDEV(BL8:BL18),"-")</f>
        <v>0.52548532923169156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7W4j61HKTlFpjmQTTaYBVmEC/1MGX1WOf1DCIRnJRi5ujz12jQDjO0TdQphMPC0ofhZwFvbTCO6mctLBnssTTQ==" saltValue="RCAohgT6tB2FQ5UbiH6Nu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ALMERIA  Resumenes por Partidos Judiciales  ROQUETAS DE MAR</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200</v>
      </c>
      <c r="G10" s="225">
        <f>IF(ISNUMBER(Datos!I10),Datos!I10," - ")</f>
        <v>200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2</v>
      </c>
      <c r="AA10" s="332">
        <f>IF(ISNUMBER(Datos!L10),Datos!L10,"-")</f>
        <v>205</v>
      </c>
      <c r="AB10" s="334"/>
      <c r="AC10" s="334"/>
      <c r="AD10" s="484"/>
      <c r="AE10" s="484">
        <f>IF(ISNUMBER(Datos!R10),Datos!R10," - ")</f>
        <v>54</v>
      </c>
      <c r="AF10" s="229" t="str">
        <f>IF(ISNUMBER(Datos!BV10),Datos!BV10," - ")</f>
        <v xml:space="preserve"> - </v>
      </c>
      <c r="AG10" s="225" t="str">
        <f>IF(ISNUMBER(Datos!DV10),Datos!DV10," - ")</f>
        <v xml:space="preserve"> - </v>
      </c>
      <c r="AH10" s="298"/>
      <c r="AI10" s="227"/>
      <c r="AJ10" s="225">
        <f>IF(ISNUMBER(Datos!M10),Datos!M10," - ")</f>
        <v>14</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-1.8181818181818181E-2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182</v>
      </c>
      <c r="AA12" s="332" t="str">
        <f>IF(ISNUMBER(IF(J_V="SI",Datos!L12,Datos!L12+Datos!AB12)-IF(Monitorios="SI",Datos!CD12,0)),
                          IF(J_V="SI",Datos!L12,Datos!L12+Datos!AB12)-IF(Monitorios="SI",Datos!CD12,0),
                          " - ")</f>
        <v xml:space="preserve"> - </v>
      </c>
      <c r="AB12" s="334"/>
      <c r="AC12" s="334"/>
      <c r="AD12" s="484"/>
      <c r="AE12" s="484">
        <f>IF(ISNUMBER(Datos!R12),Datos!R12," - ")</f>
        <v>7644</v>
      </c>
      <c r="AF12" s="229" t="str">
        <f>IF(ISNUMBER(Datos!BV12),Datos!BV12," - ")</f>
        <v xml:space="preserve"> - </v>
      </c>
      <c r="AG12" s="225" t="str">
        <f>IF(ISNUMBER(Datos!DV12),Datos!DV12," - ")</f>
        <v xml:space="preserve"> - </v>
      </c>
      <c r="AH12" s="298"/>
      <c r="AI12" s="227"/>
      <c r="AJ12" s="225">
        <f>IF(ISNUMBER(Datos!M12),Datos!M12," - ")</f>
        <v>438</v>
      </c>
      <c r="AK12" s="229">
        <f>IF(ISNUMBER(Datos!N12),Datos!N12," - ")</f>
        <v>824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7.7126325940212155</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3.2275489534098582E-2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7</v>
      </c>
      <c r="F13" s="898">
        <f>SUBTOTAL(9,F8:F12)</f>
        <v>200</v>
      </c>
      <c r="G13" s="898">
        <f>SUBTOTAL(9,G8:G12)</f>
        <v>200</v>
      </c>
      <c r="H13" s="908"/>
      <c r="I13" s="898">
        <f t="shared" ref="I13:N13" si="0">SUBTOTAL(9,I8:I12)</f>
        <v>0</v>
      </c>
      <c r="J13" s="867">
        <f t="shared" si="0"/>
        <v>0</v>
      </c>
      <c r="K13" s="908">
        <f t="shared" si="0"/>
        <v>0</v>
      </c>
      <c r="L13" s="908">
        <f t="shared" si="0"/>
        <v>0</v>
      </c>
      <c r="M13" s="908">
        <f t="shared" si="0"/>
        <v>0</v>
      </c>
      <c r="N13" s="908">
        <f t="shared" si="0"/>
        <v>422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184</v>
      </c>
      <c r="AA13" s="900">
        <f t="shared" si="2"/>
        <v>205</v>
      </c>
      <c r="AB13" s="900">
        <f t="shared" si="2"/>
        <v>0</v>
      </c>
      <c r="AC13" s="900">
        <f t="shared" si="2"/>
        <v>0</v>
      </c>
      <c r="AD13" s="900">
        <f t="shared" si="2"/>
        <v>0</v>
      </c>
      <c r="AE13" s="900">
        <f t="shared" si="2"/>
        <v>7698</v>
      </c>
      <c r="AF13" s="908">
        <f t="shared" si="2"/>
        <v>0</v>
      </c>
      <c r="AG13" s="908">
        <f t="shared" si="2"/>
        <v>0</v>
      </c>
      <c r="AH13" s="908">
        <f t="shared" si="2"/>
        <v>0</v>
      </c>
      <c r="AI13" s="908">
        <f t="shared" si="2"/>
        <v>0</v>
      </c>
      <c r="AJ13" s="908">
        <f t="shared" si="2"/>
        <v>452</v>
      </c>
      <c r="AK13" s="908">
        <f t="shared" si="2"/>
        <v>834</v>
      </c>
      <c r="AL13" s="908">
        <f t="shared" si="2"/>
        <v>0</v>
      </c>
      <c r="AM13" s="908">
        <f t="shared" si="2"/>
        <v>0</v>
      </c>
      <c r="AN13" s="908">
        <f t="shared" si="2"/>
        <v>0</v>
      </c>
      <c r="AO13" s="904">
        <f>IF(ISNUMBER(((NºAsuntos!I13/NºAsuntos!G13)*11)/factor_trimestre),((NºAsuntos!I13/NºAsuntos!G13)*11)/factor_trimestre," - ")</f>
        <v>7.9175405147759763</v>
      </c>
      <c r="AP13" s="910" t="str">
        <f>IF(ISNUMBER(Datos!CI13/Datos!CJ13),Datos!CI13/Datos!CJ13," - ")</f>
        <v xml:space="preserve"> - </v>
      </c>
      <c r="AQ13" s="928">
        <f t="shared" ref="AQ13:AV13" si="3">SUBTOTAL(9,AQ9:AQ12)</f>
        <v>0</v>
      </c>
      <c r="AR13" s="928">
        <f t="shared" si="3"/>
        <v>1.4093671352280401E-2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7</v>
      </c>
      <c r="B16" s="507" t="s">
        <v>396</v>
      </c>
      <c r="C16" s="160" t="str">
        <f>Datos!A16</f>
        <v xml:space="preserve">Jdos. 1ª Instª. e Instr.                        </v>
      </c>
      <c r="D16" s="502"/>
      <c r="E16" s="1168">
        <f>IF(ISNUMBER(Datos!AQ16),Datos!AQ16," - ")</f>
        <v>7</v>
      </c>
      <c r="F16" s="333">
        <f>IF(ISNUMBER(AA16+Y16-Datos!J16-K15),AA16+Y16-Datos!J16-K15," - ")</f>
        <v>2236</v>
      </c>
      <c r="G16" s="225">
        <f>IF(ISNUMBER(IF(D_I="SI",Datos!I16,Datos!I16+Datos!AC16)),IF(D_I="SI",Datos!I16,Datos!I16+Datos!AC16)," - ")</f>
        <v>2225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1761</v>
      </c>
      <c r="Z16" s="619">
        <f>IF(ISNUMBER(Datos!Q16),Datos!Q16," - ")</f>
        <v>51</v>
      </c>
      <c r="AA16" s="332">
        <f>IF(ISNUMBER(IF(D_I="SI",Datos!L16,Datos!L16+Datos!AF16)),IF(D_I="SI",Datos!L16,Datos!L16+Datos!AF16)," - ")</f>
        <v>2022</v>
      </c>
      <c r="AB16" s="334"/>
      <c r="AC16" s="334"/>
      <c r="AD16" s="484"/>
      <c r="AE16" s="484">
        <f>IF(ISNUMBER(Datos!R16),Datos!R16," - ")</f>
        <v>226</v>
      </c>
      <c r="AF16" s="229" t="str">
        <f>IF(ISNUMBER(Datos!BV16),Datos!BV16," - ")</f>
        <v xml:space="preserve"> - </v>
      </c>
      <c r="AG16" s="225"/>
      <c r="AH16" s="298"/>
      <c r="AI16" s="227"/>
      <c r="AJ16" s="225">
        <f>IF(ISNUMBER(Datos!M16),Datos!M16," - ")</f>
        <v>325</v>
      </c>
      <c r="AK16" s="229">
        <f>IF(ISNUMBER(Datos!N16),Datos!N16," - ")</f>
        <v>1132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3.4446337308347528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169</v>
      </c>
      <c r="Z17" s="619">
        <f>IF(ISNUMBER(Datos!Q17),Datos!Q17," - ")</f>
        <v>2</v>
      </c>
      <c r="AA17" s="332">
        <f>IF(ISNUMBER(Datos!L17),Datos!L17,"-")</f>
        <v>236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36</v>
      </c>
      <c r="AK17" s="229">
        <f>IF(ISNUMBER(Datos!N17),Datos!N17," - ")</f>
        <v>69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4.1893491124260356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7</v>
      </c>
      <c r="F18" s="898">
        <f>SUBTOTAL(9,F15:F17)</f>
        <v>2236</v>
      </c>
      <c r="G18" s="898">
        <f>SUBTOTAL(9,G15:G17)</f>
        <v>2402</v>
      </c>
      <c r="H18" s="932">
        <f>SUBTOTAL(9,H15:H17)</f>
        <v>0</v>
      </c>
      <c r="I18" s="911">
        <f>SUBTOTAL(9,I15:I17)</f>
        <v>0</v>
      </c>
      <c r="J18" s="867">
        <f>SUBTOTAL(9,J14:J17)</f>
        <v>0</v>
      </c>
      <c r="K18" s="932">
        <f t="shared" ref="K18:S18" si="4">SUBTOTAL(9,K15:K17)</f>
        <v>0</v>
      </c>
      <c r="L18" s="932">
        <f t="shared" si="4"/>
        <v>0</v>
      </c>
      <c r="M18" s="932">
        <f t="shared" si="4"/>
        <v>0</v>
      </c>
      <c r="N18" s="932">
        <f t="shared" si="4"/>
        <v>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1930</v>
      </c>
      <c r="Z18" s="932">
        <f t="shared" si="5"/>
        <v>53</v>
      </c>
      <c r="AA18" s="932">
        <f t="shared" si="5"/>
        <v>2258</v>
      </c>
      <c r="AB18" s="932">
        <f t="shared" si="5"/>
        <v>0</v>
      </c>
      <c r="AC18" s="932">
        <f t="shared" si="5"/>
        <v>0</v>
      </c>
      <c r="AD18" s="932">
        <f t="shared" si="5"/>
        <v>0</v>
      </c>
      <c r="AE18" s="932">
        <f t="shared" si="5"/>
        <v>230</v>
      </c>
      <c r="AF18" s="932">
        <f t="shared" si="5"/>
        <v>0</v>
      </c>
      <c r="AG18" s="932">
        <f t="shared" si="5"/>
        <v>0</v>
      </c>
      <c r="AH18" s="932">
        <f t="shared" si="5"/>
        <v>0</v>
      </c>
      <c r="AI18" s="932">
        <f t="shared" si="5"/>
        <v>0</v>
      </c>
      <c r="AJ18" s="932">
        <f t="shared" si="5"/>
        <v>361</v>
      </c>
      <c r="AK18" s="932">
        <f t="shared" si="5"/>
        <v>1201</v>
      </c>
      <c r="AL18" s="932">
        <f t="shared" si="5"/>
        <v>0</v>
      </c>
      <c r="AM18" s="932">
        <f t="shared" si="5"/>
        <v>0</v>
      </c>
      <c r="AN18" s="932">
        <f t="shared" si="5"/>
        <v>0</v>
      </c>
      <c r="AO18" s="934">
        <f>IF(ISNUMBER(((NºAsuntos!I18/NºAsuntos!G18)*11)/factor_trimestre),((NºAsuntos!I18/NºAsuntos!G18)*11)/factor_trimestre," - ")</f>
        <v>3.5098445595854919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14</v>
      </c>
      <c r="F19" s="820">
        <f t="shared" si="7"/>
        <v>2436</v>
      </c>
      <c r="G19" s="820">
        <f t="shared" si="7"/>
        <v>2602</v>
      </c>
      <c r="H19" s="821">
        <f t="shared" si="7"/>
        <v>0</v>
      </c>
      <c r="I19" s="820">
        <f t="shared" si="7"/>
        <v>0</v>
      </c>
      <c r="J19" s="822">
        <f t="shared" si="7"/>
        <v>0</v>
      </c>
      <c r="K19" s="820">
        <f t="shared" si="7"/>
        <v>0</v>
      </c>
      <c r="L19" s="823">
        <f t="shared" si="7"/>
        <v>0</v>
      </c>
      <c r="M19" s="820">
        <f t="shared" si="7"/>
        <v>0</v>
      </c>
      <c r="N19" s="821">
        <f t="shared" si="7"/>
        <v>497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1954</v>
      </c>
      <c r="Z19" s="827">
        <f t="shared" si="8"/>
        <v>237</v>
      </c>
      <c r="AA19" s="828">
        <f t="shared" si="8"/>
        <v>2463</v>
      </c>
      <c r="AB19" s="828">
        <f t="shared" si="8"/>
        <v>0</v>
      </c>
      <c r="AC19" s="828">
        <f t="shared" si="8"/>
        <v>0</v>
      </c>
      <c r="AD19" s="829">
        <f t="shared" si="8"/>
        <v>0</v>
      </c>
      <c r="AE19" s="829">
        <f t="shared" si="8"/>
        <v>7928</v>
      </c>
      <c r="AF19" s="830">
        <f t="shared" si="8"/>
        <v>0</v>
      </c>
      <c r="AG19" s="831">
        <f t="shared" si="8"/>
        <v>0</v>
      </c>
      <c r="AH19" s="832">
        <f t="shared" si="8"/>
        <v>0</v>
      </c>
      <c r="AI19" s="830">
        <f t="shared" si="8"/>
        <v>0</v>
      </c>
      <c r="AJ19" s="820">
        <f t="shared" si="8"/>
        <v>813</v>
      </c>
      <c r="AK19" s="820">
        <f t="shared" si="8"/>
        <v>2035</v>
      </c>
      <c r="AL19" s="820">
        <f t="shared" si="8"/>
        <v>0</v>
      </c>
      <c r="AM19" s="833">
        <f t="shared" si="8"/>
        <v>0</v>
      </c>
      <c r="AN19" s="823">
        <f>IF(ISNUMBER(Datos!K19/Datos!J19),Datos!K19/Datos!J19," - ")</f>
        <v>1.0456584850884139</v>
      </c>
      <c r="AO19" s="823">
        <f>IF(ISNUMBER(FIND("06",Criterios!A8,1)),(IF(ISNUMBER(((Datos!R19/Datos!Q19)*11)/factor_trimestre),((Datos!R19/Datos!Q19)*11)/factor_trimestre," - ")),(IF(ISNUMBER(((Datos!L19/Datos!K19)*11)/factor_trimestre),((Datos!L19/Datos!K19)*11)/factor_trimestre," - ")))</f>
        <v>5.8311458859162046</v>
      </c>
      <c r="AP19" s="834" t="str">
        <f>IF(ISNUMBER(Datos!CI19/Datos!CJ19),Datos!CI19/Datos!CJ19," - ")</f>
        <v xml:space="preserve"> - </v>
      </c>
      <c r="AQ19" s="834">
        <f>IF(OR(ISNUMBER(FIND("01",Criterios!A8,1)),ISNUMBER(FIND("02",Criterios!A8,1)),ISNUMBER(FIND("03",Criterios!A8,1)),ISNUMBER(FIND("04",Criterios!A8,1))),(J19-Y19+K19)/(F19-K19),(I19-Y19+K19)/(F19-K19))</f>
        <v>-0.80213464696223313</v>
      </c>
      <c r="AR19" s="834">
        <f>IF(ISNUMBER((Datos!P19-Datos!Q19+O19)/(Datos!R19-Datos!P19+Datos!Q19-O19)),(Datos!P19-Datos!Q19+O19)/(Datos!R19-Datos!P19+Datos!Q19-O19)," - ")</f>
        <v>3.3907146583202923E-2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1175.4851480700779</v>
      </c>
      <c r="G21" s="552">
        <f>IF(ISNUMBER(STDEV(G8:G18)),STDEV(G8:G18),"-")</f>
        <v>1163.5328529955655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196.43828547408981</v>
      </c>
      <c r="AK21" s="252"/>
      <c r="AL21" s="252">
        <f>IF(ISNUMBER(STDEV(AL8:AL18)),STDEV(AL8:AL18),"-")</f>
        <v>0</v>
      </c>
      <c r="AM21" s="254">
        <f>IF(ISNUMBER(STDEV(AM8:AM18)),STDEV(AM8:AM18),"-")</f>
        <v>0</v>
      </c>
      <c r="AN21" s="539">
        <f>IF(ISNUMBER(STDEV(AN8:AN18)),STDEV(AN8:AN18),"-")</f>
        <v>0</v>
      </c>
      <c r="AO21" s="540">
        <f>IF(ISNUMBER(STDEV(AO8:AO18)),STDEV(AO8:AO18),"-")</f>
        <v>8.5198441486698169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5/nM7UVmLdOEnbaBI4Clx9zwyDZuJ+3PEcHgXxFtgYIUACa0nIAk0MmdbU0V2St+p6cuJHQ2CSRoFD8CAIPyTA==" saltValue="LZdUf9oTujITPV/lDj29p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7guEDpteqmBZFNphvmGdvBMqHxZ+aW+xGpqNWV+X1FAnKB4u4YCz9MrR/LysPreSrC5+vTvQGCQ0q39ZLYhexg==" saltValue="rw6qkfAQSGGg0Bq0Os9Z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eBQGbPhe1aIzv4GQRIoR/1joOYMlqV/ubenHg2TOBKEdcEER2JtIYqQ/kBOXZdExA9KnnXd6WGrHyxKhxQGLA==" saltValue="uqqVYrkvk07WKkqSoOXMQ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ALMERIA  Resumenes por Partidos Judiciales  ROQUETAS DE MAR</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0.21544327931363202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0.15234140376373664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PczDiECEOGPudf6gk/cScpPp0u4DTaDm2ZxBkdoG6bwTquLI8VFGIN5mL4xY47wQLac//u5zTUajKIPoy/PfLQ==" saltValue="Wka2gR9KF/RYpBx1yOiR9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9wPU7r4XuhcCcJg30i54juj+FoR2LHFpGWxZ75M8srGS90i3JMPQpNMmUrF98PclZgccOWQHEwGuIPcikUjtg==" saltValue="itI8h1PYcTJEEqGYGXJy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ALMERIA  Resumenes por Partidos Judiciales  ROQUETAS DE MAR</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200</v>
      </c>
      <c r="G10" s="684">
        <f>IF(ISNUMBER(Datos!I10),Datos!I10," - ")</f>
        <v>200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205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25.625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438</v>
      </c>
      <c r="AM12" s="690">
        <f>IF(ISNUMBER(Datos!N12+DatosP!N16),Datos!N12+DatosP!N16," - ")</f>
        <v>824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7.7126325940212155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3.2275489534098582E-2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7</v>
      </c>
      <c r="F13" s="938">
        <f t="shared" si="0"/>
        <v>200</v>
      </c>
      <c r="G13" s="938">
        <f t="shared" si="0"/>
        <v>200</v>
      </c>
      <c r="H13" s="938">
        <f t="shared" si="0"/>
        <v>0</v>
      </c>
      <c r="I13" s="940">
        <f t="shared" si="0"/>
        <v>0</v>
      </c>
      <c r="J13" s="939">
        <f t="shared" si="0"/>
        <v>0</v>
      </c>
      <c r="K13" s="939">
        <f t="shared" si="0"/>
        <v>0</v>
      </c>
      <c r="L13" s="941">
        <f t="shared" si="0"/>
        <v>0</v>
      </c>
      <c r="M13" s="941">
        <f t="shared" si="0"/>
        <v>0</v>
      </c>
      <c r="N13" s="939">
        <f t="shared" si="0"/>
        <v>422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182</v>
      </c>
      <c r="AE13" s="939">
        <f t="shared" si="1"/>
        <v>0</v>
      </c>
      <c r="AF13" s="939">
        <f t="shared" si="1"/>
        <v>205</v>
      </c>
      <c r="AG13" s="939">
        <f t="shared" si="1"/>
        <v>0</v>
      </c>
      <c r="AH13" s="939">
        <f t="shared" si="1"/>
        <v>7644</v>
      </c>
      <c r="AI13" s="939">
        <f t="shared" si="1"/>
        <v>0</v>
      </c>
      <c r="AJ13" s="939">
        <f t="shared" si="1"/>
        <v>0</v>
      </c>
      <c r="AK13" s="939">
        <f t="shared" si="1"/>
        <v>0</v>
      </c>
      <c r="AL13" s="939">
        <f t="shared" si="1"/>
        <v>452</v>
      </c>
      <c r="AM13" s="939">
        <f t="shared" si="1"/>
        <v>834</v>
      </c>
      <c r="AN13" s="939">
        <f t="shared" si="1"/>
        <v>0</v>
      </c>
      <c r="AO13" s="939">
        <f t="shared" si="1"/>
        <v>0</v>
      </c>
      <c r="AP13" s="944">
        <f>IF(ISNUMBER(((Datos!L13/Datos!K13)*11)/factor_trimestre),((Datos!L13/Datos!K13)*11)/factor_trimestre," - ")</f>
        <v>8.0359251968503926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v>
      </c>
      <c r="AU13" s="939" t="str">
        <f>IF(ISNUMBER((DatosP!#REF!-DatosP!#REF!+DatosP!#REF!)/(DatosP!#REF!+DatosP!#REF!-DatosP!#REF!-DatosP!#REF!)),(DatosP!#REF!-DatosP!#REF!+DatosP!#REF!)/(DatosP!#REF!+DatosP!#REF!-DatosP!#REF!-DatosP!#REF!)," - ")</f>
        <v xml:space="preserve"> - </v>
      </c>
      <c r="AV13" s="945">
        <f>SUBTOTAL(9,AV9:AV12)</f>
        <v>3.2275489534098582E-2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3.5098445595854919</v>
      </c>
      <c r="AQ18" s="944">
        <f>IF(ISNUMBER(((Datos!M18/Datos!L18)*11)/factor_trimestre),((Datos!M18/Datos!L18)*11)/factor_trimestre," - ")</f>
        <v>0.47962798937112489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0.10576923076923077</v>
      </c>
      <c r="AW18" s="946">
        <f>IF(ISNUMBER((Datos!Q18-Datos!R18)/(Datos!S18-Datos!Q18+Datos!R18)),(Datos!Q18-Datos!R18)/(Datos!S18-Datos!Q18+Datos!R18)," - ")</f>
        <v>-0.10805860805860806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7</v>
      </c>
      <c r="F19" s="951">
        <f t="shared" si="4"/>
        <v>200</v>
      </c>
      <c r="G19" s="951">
        <f t="shared" si="4"/>
        <v>200</v>
      </c>
      <c r="H19" s="951">
        <f t="shared" si="4"/>
        <v>0</v>
      </c>
      <c r="I19" s="952">
        <f t="shared" si="4"/>
        <v>0</v>
      </c>
      <c r="J19" s="953">
        <f t="shared" si="4"/>
        <v>0</v>
      </c>
      <c r="K19" s="953">
        <f t="shared" si="4"/>
        <v>0</v>
      </c>
      <c r="L19" s="953">
        <f t="shared" si="4"/>
        <v>0</v>
      </c>
      <c r="M19" s="953">
        <f t="shared" si="4"/>
        <v>0</v>
      </c>
      <c r="N19" s="952">
        <f t="shared" si="4"/>
        <v>422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182</v>
      </c>
      <c r="AE19" s="957">
        <f t="shared" si="5"/>
        <v>0</v>
      </c>
      <c r="AF19" s="958">
        <f t="shared" si="5"/>
        <v>205</v>
      </c>
      <c r="AG19" s="958">
        <f t="shared" si="5"/>
        <v>0</v>
      </c>
      <c r="AH19" s="958">
        <f t="shared" si="5"/>
        <v>7644</v>
      </c>
      <c r="AI19" s="958">
        <f t="shared" si="5"/>
        <v>0</v>
      </c>
      <c r="AJ19" s="959">
        <f t="shared" si="5"/>
        <v>0</v>
      </c>
      <c r="AK19" s="959">
        <f t="shared" si="5"/>
        <v>0</v>
      </c>
      <c r="AL19" s="951">
        <f t="shared" si="5"/>
        <v>452</v>
      </c>
      <c r="AM19" s="951">
        <f t="shared" si="5"/>
        <v>834</v>
      </c>
      <c r="AN19" s="951">
        <f t="shared" si="5"/>
        <v>0</v>
      </c>
      <c r="AO19" s="951">
        <f t="shared" si="5"/>
        <v>0</v>
      </c>
      <c r="AP19" s="951">
        <f>IF(ISNUMBER(((Datos!L19/Datos!K19)*11)/factor_trimestre),((Datos!L19/Datos!K19)*11)/factor_trimestre," - ")</f>
        <v>5.8311458859162046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3.3907146583202923E-2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3.614784456460256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253.00856375493169</v>
      </c>
      <c r="AM21" s="736"/>
      <c r="AN21" s="736">
        <f>IF(ISNUMBER(STDEV(AN8:AN18)),STDEV(AN8:AN18),"-")</f>
        <v>0</v>
      </c>
      <c r="AO21" s="742">
        <f>IF(ISNUMBER(STDEV(AO8:AO18)),STDEV(AO8:AO18),"-")</f>
        <v>0</v>
      </c>
      <c r="AP21" s="779">
        <f>IF(ISNUMBER(STDEV(AP8:AP18)),STDEV(AP8:AP18),"-")</f>
        <v>9.8215829934882137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I1k02UJLkBH+llGpHX8zPjx/jvZDLxDRLV20o6updDKva0CuvSSb51LzBDP/d7pA6wuYvVvGTOZjEfiGhzXEPA==" saltValue="ju6RJuaSQJERZEWsGRw0q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